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im.Platonov\Veon\IR Team - Documents\Results\2021\1Q21\!FINAL\"/>
    </mc:Choice>
  </mc:AlternateContent>
  <xr:revisionPtr revIDLastSave="223" documentId="8_{732EEC3A-1D62-4787-BC78-F02A0324322E}" xr6:coauthVersionLast="45" xr6:coauthVersionMax="45" xr10:uidLastSave="{1C8FF39F-3F0F-481E-B58E-41829FC7CCC3}"/>
  <bookViews>
    <workbookView xWindow="-120" yWindow="-16320" windowWidth="29040" windowHeight="15840" activeTab="1" xr2:uid="{6BE65859-49AE-4E3A-B38D-D9AB7DEE0F80}"/>
  </bookViews>
  <sheets>
    <sheet name="Index" sheetId="1" r:id="rId1"/>
    <sheet name="Consolidated VEON " sheetId="2" r:id="rId2"/>
    <sheet name="Customers" sheetId="3" r:id="rId3"/>
    <sheet name="Russia" sheetId="4" r:id="rId4"/>
    <sheet name="Pakistan" sheetId="5" r:id="rId5"/>
    <sheet name="Algeria" sheetId="6" r:id="rId6"/>
    <sheet name="Bangladesh" sheetId="7" r:id="rId7"/>
    <sheet name="Ukraine" sheetId="8" r:id="rId8"/>
    <sheet name="Uzbekistan" sheetId="9" r:id="rId9"/>
    <sheet name="Kazakhstan" sheetId="10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Bangladesh!#REF!</definedName>
    <definedName name="Def_SV_ConnectionString">[1]Settings!$K$30</definedName>
    <definedName name="Factor">[2]Settings!$K$32</definedName>
    <definedName name="HFM_IC3456">[1]Settings!$K$62</definedName>
    <definedName name="HPL_SV_ConnectionString">[2]Settings!$M$30</definedName>
    <definedName name="HPL_VCA123">[2]Settings!$M$59</definedName>
    <definedName name="jp_gth" localSheetId="5">Algeria!#REF!</definedName>
    <definedName name="Loc_Retrieve_A">[3]Retrieve!$A$1:$AAC$519</definedName>
    <definedName name="_xlnm.Print_Area" localSheetId="5">Algeria!$A$1:$AL$45</definedName>
    <definedName name="_xlnm.Print_Area" localSheetId="6">Bangladesh!$A$1:$AL$43</definedName>
    <definedName name="_xlnm.Print_Area" localSheetId="1">'Consolidated VEON '!$A$1:$AL$24</definedName>
    <definedName name="_xlnm.Print_Area" localSheetId="2">Customers!$A$1:$AB$27</definedName>
    <definedName name="_xlnm.Print_Area" localSheetId="0">Index!$A$1:$K$17</definedName>
    <definedName name="_xlnm.Print_Area" localSheetId="9">Kazakhstan!$A$1:$AL$62</definedName>
    <definedName name="_xlnm.Print_Area" localSheetId="4">Pakistan!$A$1:$AL$43</definedName>
    <definedName name="_xlnm.Print_Area" localSheetId="3">Russia!$A$1:$AL$71</definedName>
    <definedName name="_xlnm.Print_Area" localSheetId="7">Ukraine!$A$1:$AL$62</definedName>
    <definedName name="_xlnm.Print_Area" localSheetId="8">Uzbekistan!$A$1:$AL$54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5" i="2" l="1"/>
  <c r="AE15" i="2"/>
  <c r="AD15" i="2"/>
  <c r="AC15" i="2"/>
  <c r="AB15" i="2"/>
  <c r="AA15" i="2"/>
  <c r="AL10" i="4"/>
  <c r="AL11" i="4"/>
  <c r="AL41" i="4"/>
  <c r="AL42" i="4"/>
  <c r="AL11" i="5"/>
  <c r="AL12" i="5"/>
  <c r="AL28" i="5"/>
  <c r="AL29" i="5"/>
  <c r="AL11" i="6"/>
  <c r="AL12" i="6"/>
  <c r="AL28" i="6"/>
  <c r="AL29" i="6"/>
  <c r="AL11" i="7"/>
  <c r="AL12" i="7"/>
  <c r="AL28" i="7"/>
  <c r="AL29" i="7"/>
  <c r="AL37" i="8"/>
  <c r="AL36" i="8"/>
  <c r="AL10" i="8"/>
  <c r="AL11" i="8"/>
  <c r="AL10" i="9"/>
  <c r="AL11" i="9"/>
  <c r="AL33" i="9"/>
  <c r="AL34" i="9"/>
  <c r="AL37" i="10"/>
  <c r="AL36" i="10"/>
  <c r="AL10" i="10"/>
  <c r="AL11" i="10"/>
  <c r="AL67" i="4" l="1"/>
  <c r="AL66" i="4"/>
  <c r="AE84" i="4"/>
  <c r="H18" i="2"/>
  <c r="I18" i="2"/>
  <c r="J18" i="2"/>
  <c r="K18" i="2"/>
  <c r="L18" i="2"/>
  <c r="AL52" i="10"/>
  <c r="AI52" i="10"/>
  <c r="AK52" i="10" s="1"/>
  <c r="Z52" i="10"/>
  <c r="Q52" i="10"/>
  <c r="AG51" i="10"/>
  <c r="AF51" i="10"/>
  <c r="AE53" i="10"/>
  <c r="AD53" i="10"/>
  <c r="AD27" i="10" s="1"/>
  <c r="AC53" i="10"/>
  <c r="AB53" i="10"/>
  <c r="AL51" i="10"/>
  <c r="W51" i="10"/>
  <c r="T51" i="10"/>
  <c r="Z50" i="10"/>
  <c r="W50" i="10"/>
  <c r="T50" i="10"/>
  <c r="AI50" i="10"/>
  <c r="AG50" i="10"/>
  <c r="AL49" i="10"/>
  <c r="Z49" i="10"/>
  <c r="W49" i="10"/>
  <c r="T49" i="10"/>
  <c r="Q49" i="10"/>
  <c r="AL46" i="10"/>
  <c r="AK46" i="10"/>
  <c r="AJ46" i="10"/>
  <c r="AI46" i="10"/>
  <c r="AH46" i="10"/>
  <c r="AG46" i="10"/>
  <c r="AF46" i="10"/>
  <c r="H46" i="10"/>
  <c r="AL45" i="10"/>
  <c r="AK45" i="10"/>
  <c r="AJ45" i="10"/>
  <c r="AI45" i="10"/>
  <c r="AH45" i="10"/>
  <c r="AG45" i="10"/>
  <c r="AF45" i="10"/>
  <c r="E45" i="10"/>
  <c r="Z44" i="10"/>
  <c r="T44" i="10"/>
  <c r="Q44" i="10"/>
  <c r="O43" i="10"/>
  <c r="AG42" i="10"/>
  <c r="Z42" i="10"/>
  <c r="T42" i="10"/>
  <c r="Q42" i="10"/>
  <c r="AL41" i="10"/>
  <c r="Z41" i="10"/>
  <c r="W41" i="10"/>
  <c r="AF41" i="10"/>
  <c r="AG40" i="10"/>
  <c r="Z40" i="10"/>
  <c r="T40" i="10"/>
  <c r="Q40" i="10"/>
  <c r="AI35" i="10"/>
  <c r="S35" i="10"/>
  <c r="Z34" i="10"/>
  <c r="V35" i="10"/>
  <c r="T34" i="10"/>
  <c r="Q34" i="10"/>
  <c r="P35" i="10"/>
  <c r="AC33" i="10"/>
  <c r="X33" i="10"/>
  <c r="O33" i="10"/>
  <c r="J33" i="10"/>
  <c r="I33" i="10"/>
  <c r="AL32" i="10"/>
  <c r="AI32" i="10"/>
  <c r="AH32" i="10"/>
  <c r="Z32" i="10"/>
  <c r="W32" i="10"/>
  <c r="W33" i="10" s="1"/>
  <c r="M33" i="10"/>
  <c r="K33" i="10"/>
  <c r="H33" i="10"/>
  <c r="AG32" i="10"/>
  <c r="E33" i="10"/>
  <c r="D33" i="10"/>
  <c r="Z31" i="10"/>
  <c r="W31" i="10"/>
  <c r="T31" i="10"/>
  <c r="AG31" i="10"/>
  <c r="AI26" i="10"/>
  <c r="AK26" i="10" s="1"/>
  <c r="AE26" i="10"/>
  <c r="AD26" i="10"/>
  <c r="AL26" i="10" s="1"/>
  <c r="AC26" i="10"/>
  <c r="AB26" i="10"/>
  <c r="AA26" i="10"/>
  <c r="X26" i="10"/>
  <c r="Z26" i="10" s="1"/>
  <c r="W26" i="10"/>
  <c r="U26" i="10"/>
  <c r="T26" i="10"/>
  <c r="R26" i="10"/>
  <c r="O26" i="10"/>
  <c r="Q26" i="10" s="1"/>
  <c r="M52" i="10"/>
  <c r="K52" i="10"/>
  <c r="I52" i="10"/>
  <c r="H52" i="10"/>
  <c r="G52" i="10"/>
  <c r="E52" i="10"/>
  <c r="E23" i="3" s="1"/>
  <c r="E25" i="3" s="1"/>
  <c r="D52" i="10"/>
  <c r="C52" i="10"/>
  <c r="AD25" i="10"/>
  <c r="AC25" i="10"/>
  <c r="AB25" i="10"/>
  <c r="Z25" i="10"/>
  <c r="X25" i="10"/>
  <c r="U25" i="10"/>
  <c r="W25" i="10" s="1"/>
  <c r="R25" i="10"/>
  <c r="T25" i="10" s="1"/>
  <c r="Q25" i="10"/>
  <c r="Z24" i="10"/>
  <c r="T24" i="10"/>
  <c r="Q24" i="10"/>
  <c r="AF24" i="10"/>
  <c r="AI23" i="10"/>
  <c r="AK23" i="10" s="1"/>
  <c r="AH23" i="10"/>
  <c r="Z23" i="10"/>
  <c r="W23" i="10"/>
  <c r="T23" i="10"/>
  <c r="Q23" i="10"/>
  <c r="AF23" i="10"/>
  <c r="AE46" i="10"/>
  <c r="AD46" i="10"/>
  <c r="AC46" i="10"/>
  <c r="AB46" i="10"/>
  <c r="AA46" i="10"/>
  <c r="O46" i="10"/>
  <c r="Q46" i="10" s="1"/>
  <c r="N46" i="10"/>
  <c r="M46" i="10"/>
  <c r="L46" i="10"/>
  <c r="G46" i="10"/>
  <c r="F46" i="10"/>
  <c r="E46" i="10"/>
  <c r="D46" i="10"/>
  <c r="C46" i="10"/>
  <c r="AE45" i="10"/>
  <c r="AD45" i="10"/>
  <c r="AB45" i="10"/>
  <c r="AA45" i="10"/>
  <c r="Z19" i="10"/>
  <c r="Q19" i="10"/>
  <c r="N45" i="10"/>
  <c r="M45" i="10"/>
  <c r="L45" i="10"/>
  <c r="K45" i="10"/>
  <c r="J45" i="10"/>
  <c r="F45" i="10"/>
  <c r="D45" i="10"/>
  <c r="C45" i="10"/>
  <c r="Z18" i="10"/>
  <c r="W18" i="10"/>
  <c r="T18" i="10"/>
  <c r="AG17" i="10"/>
  <c r="AE43" i="10"/>
  <c r="AB43" i="10"/>
  <c r="AA43" i="10"/>
  <c r="Q17" i="10"/>
  <c r="N43" i="10"/>
  <c r="AH43" i="10" s="1"/>
  <c r="L43" i="10"/>
  <c r="J43" i="10"/>
  <c r="H43" i="10"/>
  <c r="G43" i="10"/>
  <c r="F43" i="10"/>
  <c r="AF43" i="10" s="1"/>
  <c r="E43" i="10"/>
  <c r="D43" i="10"/>
  <c r="C43" i="10"/>
  <c r="AH16" i="10"/>
  <c r="W16" i="10"/>
  <c r="T16" i="10"/>
  <c r="AF16" i="10"/>
  <c r="AG15" i="10"/>
  <c r="Z15" i="10"/>
  <c r="Q15" i="10"/>
  <c r="Z14" i="10"/>
  <c r="W14" i="10"/>
  <c r="T14" i="10"/>
  <c r="AH9" i="10"/>
  <c r="AG9" i="10"/>
  <c r="AL9" i="10"/>
  <c r="V9" i="10"/>
  <c r="W9" i="10" s="1"/>
  <c r="AF8" i="10"/>
  <c r="AL8" i="10"/>
  <c r="S9" i="10"/>
  <c r="AH8" i="10"/>
  <c r="AG8" i="10"/>
  <c r="AA7" i="10"/>
  <c r="M7" i="10"/>
  <c r="L7" i="10"/>
  <c r="E7" i="10"/>
  <c r="D7" i="10"/>
  <c r="T6" i="10"/>
  <c r="H7" i="10"/>
  <c r="F7" i="10"/>
  <c r="C7" i="10"/>
  <c r="Z5" i="10"/>
  <c r="I7" i="10"/>
  <c r="AF5" i="10"/>
  <c r="W46" i="9"/>
  <c r="AG45" i="9"/>
  <c r="T45" i="9"/>
  <c r="Q45" i="9"/>
  <c r="AL43" i="9"/>
  <c r="AK43" i="9"/>
  <c r="AI43" i="9"/>
  <c r="AH43" i="9"/>
  <c r="AG43" i="9"/>
  <c r="AF43" i="9"/>
  <c r="AD43" i="9"/>
  <c r="AB43" i="9"/>
  <c r="X43" i="9"/>
  <c r="M43" i="9"/>
  <c r="J43" i="9"/>
  <c r="E43" i="9"/>
  <c r="AL42" i="9"/>
  <c r="AK42" i="9"/>
  <c r="AI42" i="9"/>
  <c r="AH42" i="9"/>
  <c r="AG42" i="9"/>
  <c r="AF42" i="9"/>
  <c r="X42" i="9"/>
  <c r="U42" i="9"/>
  <c r="L42" i="9"/>
  <c r="K42" i="9"/>
  <c r="C42" i="9"/>
  <c r="AL41" i="9"/>
  <c r="AK41" i="9"/>
  <c r="AI41" i="9"/>
  <c r="AH41" i="9"/>
  <c r="AG41" i="9"/>
  <c r="AF41" i="9"/>
  <c r="W41" i="9"/>
  <c r="Q41" i="9"/>
  <c r="O40" i="9"/>
  <c r="N40" i="9"/>
  <c r="F40" i="9"/>
  <c r="AF40" i="9" s="1"/>
  <c r="Z39" i="9"/>
  <c r="W39" i="9"/>
  <c r="T39" i="9"/>
  <c r="Q39" i="9"/>
  <c r="AI39" i="9"/>
  <c r="AK39" i="9" s="1"/>
  <c r="AF39" i="9"/>
  <c r="AI38" i="9"/>
  <c r="Z38" i="9"/>
  <c r="W38" i="9"/>
  <c r="T38" i="9"/>
  <c r="AF38" i="9"/>
  <c r="Z37" i="9"/>
  <c r="W37" i="9"/>
  <c r="T37" i="9"/>
  <c r="Q37" i="9"/>
  <c r="AF37" i="9"/>
  <c r="AL32" i="9"/>
  <c r="P32" i="9"/>
  <c r="Q32" i="9" s="1"/>
  <c r="AG32" i="9"/>
  <c r="AF32" i="9"/>
  <c r="AJ31" i="9"/>
  <c r="V32" i="9"/>
  <c r="W32" i="9" s="1"/>
  <c r="W31" i="9"/>
  <c r="T31" i="9"/>
  <c r="S32" i="9"/>
  <c r="Q31" i="9"/>
  <c r="AG31" i="9"/>
  <c r="AL30" i="9"/>
  <c r="AC30" i="9"/>
  <c r="AB30" i="9"/>
  <c r="AA30" i="9"/>
  <c r="R30" i="9"/>
  <c r="O30" i="9"/>
  <c r="G30" i="9"/>
  <c r="AL29" i="9"/>
  <c r="AG29" i="9"/>
  <c r="AF29" i="9"/>
  <c r="AE30" i="9"/>
  <c r="W29" i="9"/>
  <c r="T29" i="9"/>
  <c r="L30" i="9"/>
  <c r="K30" i="9"/>
  <c r="J30" i="9"/>
  <c r="I30" i="9"/>
  <c r="F30" i="9"/>
  <c r="D30" i="9"/>
  <c r="C30" i="9"/>
  <c r="AL28" i="9"/>
  <c r="Z28" i="9"/>
  <c r="W28" i="9"/>
  <c r="T28" i="9"/>
  <c r="Q28" i="9"/>
  <c r="AH28" i="9"/>
  <c r="AG28" i="9"/>
  <c r="Z24" i="9"/>
  <c r="W24" i="9"/>
  <c r="T24" i="9"/>
  <c r="Q24" i="9"/>
  <c r="AI24" i="9"/>
  <c r="AK24" i="9" s="1"/>
  <c r="AG24" i="9"/>
  <c r="AL23" i="9"/>
  <c r="Z23" i="9"/>
  <c r="W23" i="9"/>
  <c r="T23" i="9"/>
  <c r="AF23" i="9"/>
  <c r="AE43" i="9"/>
  <c r="AC43" i="9"/>
  <c r="Z20" i="9"/>
  <c r="T20" i="9"/>
  <c r="R43" i="9"/>
  <c r="T43" i="9" s="1"/>
  <c r="N43" i="9"/>
  <c r="L43" i="9"/>
  <c r="F43" i="9"/>
  <c r="D43" i="9"/>
  <c r="C43" i="9"/>
  <c r="AE42" i="9"/>
  <c r="AD42" i="9"/>
  <c r="AC42" i="9"/>
  <c r="AB42" i="9"/>
  <c r="AA42" i="9"/>
  <c r="Z19" i="9"/>
  <c r="W19" i="9"/>
  <c r="R42" i="9"/>
  <c r="J42" i="9"/>
  <c r="I42" i="9"/>
  <c r="H42" i="9"/>
  <c r="F42" i="9"/>
  <c r="E42" i="9"/>
  <c r="D42" i="9"/>
  <c r="T18" i="9"/>
  <c r="AK17" i="9"/>
  <c r="AI17" i="9"/>
  <c r="AF17" i="9"/>
  <c r="AE40" i="9"/>
  <c r="AC40" i="9"/>
  <c r="AB40" i="9"/>
  <c r="Z17" i="9"/>
  <c r="U40" i="9"/>
  <c r="W40" i="9" s="1"/>
  <c r="Q17" i="9"/>
  <c r="AH17" i="9"/>
  <c r="M40" i="9"/>
  <c r="L40" i="9"/>
  <c r="I40" i="9"/>
  <c r="H40" i="9"/>
  <c r="G40" i="9"/>
  <c r="E40" i="9"/>
  <c r="D40" i="9"/>
  <c r="C40" i="9"/>
  <c r="AL16" i="9"/>
  <c r="Z16" i="9"/>
  <c r="T16" i="9"/>
  <c r="Q16" i="9"/>
  <c r="AH15" i="9"/>
  <c r="W15" i="9"/>
  <c r="T15" i="9"/>
  <c r="AF15" i="9"/>
  <c r="Z14" i="9"/>
  <c r="T14" i="9"/>
  <c r="Q14" i="9"/>
  <c r="AG9" i="9"/>
  <c r="Y9" i="9"/>
  <c r="Z9" i="9" s="1"/>
  <c r="S9" i="9"/>
  <c r="AH9" i="9"/>
  <c r="Z8" i="9"/>
  <c r="AJ8" i="9"/>
  <c r="T8" i="9"/>
  <c r="P9" i="9"/>
  <c r="Q9" i="9" s="1"/>
  <c r="Q8" i="9"/>
  <c r="AH8" i="9"/>
  <c r="AG8" i="9"/>
  <c r="AD7" i="9"/>
  <c r="AB7" i="9"/>
  <c r="O7" i="9"/>
  <c r="N7" i="9"/>
  <c r="J7" i="9"/>
  <c r="H7" i="9"/>
  <c r="F7" i="9"/>
  <c r="AI6" i="9"/>
  <c r="AE7" i="9"/>
  <c r="AL6" i="9"/>
  <c r="W6" i="9"/>
  <c r="R7" i="9"/>
  <c r="I7" i="9"/>
  <c r="G7" i="9"/>
  <c r="AG5" i="9"/>
  <c r="Z5" i="9"/>
  <c r="W5" i="9"/>
  <c r="T5" i="9"/>
  <c r="Q5" i="9"/>
  <c r="AF5" i="9"/>
  <c r="O53" i="8"/>
  <c r="N53" i="8"/>
  <c r="AL52" i="8"/>
  <c r="AI52" i="8"/>
  <c r="AK52" i="8" s="1"/>
  <c r="W52" i="8"/>
  <c r="Q52" i="8"/>
  <c r="AH52" i="8"/>
  <c r="H52" i="8"/>
  <c r="G52" i="8"/>
  <c r="H53" i="8" s="1"/>
  <c r="F52" i="8"/>
  <c r="G53" i="8" s="1"/>
  <c r="D52" i="8"/>
  <c r="E53" i="8" s="1"/>
  <c r="C52" i="8"/>
  <c r="AF51" i="8"/>
  <c r="AD53" i="8"/>
  <c r="AL51" i="8"/>
  <c r="Z51" i="8"/>
  <c r="T51" i="8"/>
  <c r="Q51" i="8"/>
  <c r="M53" i="8"/>
  <c r="Z50" i="8"/>
  <c r="W50" i="8"/>
  <c r="Q50" i="8"/>
  <c r="AG50" i="8"/>
  <c r="AF50" i="8"/>
  <c r="AG49" i="8"/>
  <c r="AL49" i="8"/>
  <c r="W49" i="8"/>
  <c r="T49" i="8"/>
  <c r="Q49" i="8"/>
  <c r="AI49" i="8"/>
  <c r="AL46" i="8"/>
  <c r="AK46" i="8"/>
  <c r="AI46" i="8"/>
  <c r="AH46" i="8"/>
  <c r="AG46" i="8"/>
  <c r="AF46" i="8"/>
  <c r="R46" i="8"/>
  <c r="O46" i="8"/>
  <c r="AL45" i="8"/>
  <c r="AK45" i="8"/>
  <c r="AI45" i="8"/>
  <c r="AH45" i="8"/>
  <c r="AG45" i="8"/>
  <c r="AF45" i="8"/>
  <c r="O45" i="8"/>
  <c r="Q45" i="8" s="1"/>
  <c r="Z44" i="8"/>
  <c r="Q44" i="8"/>
  <c r="R43" i="8"/>
  <c r="T43" i="8" s="1"/>
  <c r="O43" i="8"/>
  <c r="AL42" i="8"/>
  <c r="W42" i="8"/>
  <c r="T42" i="8"/>
  <c r="Q42" i="8"/>
  <c r="AG42" i="8"/>
  <c r="AF42" i="8"/>
  <c r="AG41" i="8"/>
  <c r="W41" i="8"/>
  <c r="AF41" i="8"/>
  <c r="AL40" i="8"/>
  <c r="Z40" i="8"/>
  <c r="W40" i="8"/>
  <c r="Q40" i="8"/>
  <c r="AI40" i="8"/>
  <c r="AF40" i="8"/>
  <c r="AF35" i="8"/>
  <c r="AL35" i="8"/>
  <c r="Y35" i="8"/>
  <c r="S35" i="8"/>
  <c r="T35" i="8" s="1"/>
  <c r="P35" i="8"/>
  <c r="Q35" i="8" s="1"/>
  <c r="AG35" i="8"/>
  <c r="AH34" i="8"/>
  <c r="AL34" i="8"/>
  <c r="Z34" i="8"/>
  <c r="AJ34" i="8"/>
  <c r="AJ35" i="8" s="1"/>
  <c r="V35" i="8"/>
  <c r="W34" i="8"/>
  <c r="T34" i="8"/>
  <c r="Q34" i="8"/>
  <c r="AF34" i="8"/>
  <c r="AB33" i="8"/>
  <c r="X33" i="8"/>
  <c r="N33" i="8"/>
  <c r="M33" i="8"/>
  <c r="H33" i="8"/>
  <c r="AL32" i="8"/>
  <c r="AE33" i="8"/>
  <c r="Z32" i="8"/>
  <c r="T32" i="8"/>
  <c r="L33" i="8"/>
  <c r="F33" i="8"/>
  <c r="D33" i="8"/>
  <c r="AL31" i="8"/>
  <c r="Z31" i="8"/>
  <c r="T31" i="8"/>
  <c r="Q31" i="8"/>
  <c r="E33" i="8"/>
  <c r="O27" i="8"/>
  <c r="Q27" i="8" s="1"/>
  <c r="N27" i="8"/>
  <c r="M27" i="8"/>
  <c r="AG26" i="8"/>
  <c r="AG52" i="8" s="1"/>
  <c r="AF26" i="8"/>
  <c r="AF52" i="8" s="1"/>
  <c r="AE26" i="8"/>
  <c r="AD26" i="8"/>
  <c r="AL26" i="8" s="1"/>
  <c r="AC26" i="8"/>
  <c r="AB26" i="8"/>
  <c r="AA26" i="8"/>
  <c r="X26" i="8"/>
  <c r="Z26" i="8" s="1"/>
  <c r="U26" i="8"/>
  <c r="W26" i="8" s="1"/>
  <c r="O26" i="8"/>
  <c r="Q26" i="8" s="1"/>
  <c r="AH26" i="8"/>
  <c r="E26" i="8"/>
  <c r="AG25" i="8"/>
  <c r="AC25" i="8"/>
  <c r="AB25" i="8"/>
  <c r="AA25" i="8"/>
  <c r="X25" i="8"/>
  <c r="R25" i="8"/>
  <c r="T25" i="8" s="1"/>
  <c r="O25" i="8"/>
  <c r="AF24" i="8"/>
  <c r="Z24" i="8"/>
  <c r="W24" i="8"/>
  <c r="Q24" i="8"/>
  <c r="AG23" i="8"/>
  <c r="AL23" i="8"/>
  <c r="Z23" i="8"/>
  <c r="W23" i="8"/>
  <c r="T23" i="8"/>
  <c r="Q23" i="8"/>
  <c r="AF23" i="8"/>
  <c r="AE46" i="8"/>
  <c r="AD46" i="8"/>
  <c r="AB46" i="8"/>
  <c r="AA46" i="8"/>
  <c r="Q20" i="8"/>
  <c r="N46" i="8"/>
  <c r="L46" i="8"/>
  <c r="K46" i="8"/>
  <c r="J46" i="8"/>
  <c r="G46" i="8"/>
  <c r="F46" i="8"/>
  <c r="E46" i="8"/>
  <c r="D46" i="8"/>
  <c r="C46" i="8"/>
  <c r="AE45" i="8"/>
  <c r="AD45" i="8"/>
  <c r="AB45" i="8"/>
  <c r="Z19" i="8"/>
  <c r="N45" i="8"/>
  <c r="M45" i="8"/>
  <c r="L45" i="8"/>
  <c r="J45" i="8"/>
  <c r="I45" i="8"/>
  <c r="H45" i="8"/>
  <c r="F45" i="8"/>
  <c r="E45" i="8"/>
  <c r="D45" i="8"/>
  <c r="C45" i="8"/>
  <c r="Z18" i="8"/>
  <c r="W18" i="8"/>
  <c r="T18" i="8"/>
  <c r="Q18" i="8"/>
  <c r="AL17" i="8"/>
  <c r="AE43" i="8"/>
  <c r="AD43" i="8"/>
  <c r="AL43" i="8" s="1"/>
  <c r="AC43" i="8"/>
  <c r="T17" i="8"/>
  <c r="Q17" i="8"/>
  <c r="N43" i="8"/>
  <c r="AH43" i="8" s="1"/>
  <c r="J43" i="8"/>
  <c r="H43" i="8"/>
  <c r="G43" i="8"/>
  <c r="E43" i="8"/>
  <c r="D43" i="8"/>
  <c r="C43" i="8"/>
  <c r="AL16" i="8"/>
  <c r="Z16" i="8"/>
  <c r="Q16" i="8"/>
  <c r="AG16" i="8"/>
  <c r="AF16" i="8"/>
  <c r="W15" i="8"/>
  <c r="T15" i="8"/>
  <c r="AF15" i="8"/>
  <c r="AL14" i="8"/>
  <c r="Z14" i="8"/>
  <c r="Q14" i="8"/>
  <c r="AG14" i="8"/>
  <c r="AF14" i="8"/>
  <c r="AI9" i="8"/>
  <c r="AG9" i="8"/>
  <c r="AL9" i="8"/>
  <c r="Y9" i="8"/>
  <c r="V9" i="8"/>
  <c r="W9" i="8" s="1"/>
  <c r="S9" i="8"/>
  <c r="T9" i="8" s="1"/>
  <c r="AH9" i="8"/>
  <c r="AF9" i="8"/>
  <c r="AJ8" i="8"/>
  <c r="AJ9" i="8" s="1"/>
  <c r="AL8" i="8"/>
  <c r="Z8" i="8"/>
  <c r="W8" i="8"/>
  <c r="P9" i="8"/>
  <c r="AH8" i="8"/>
  <c r="AF8" i="8"/>
  <c r="AE7" i="8"/>
  <c r="X7" i="8"/>
  <c r="R7" i="8"/>
  <c r="F7" i="8"/>
  <c r="AG6" i="8"/>
  <c r="Z6" i="8"/>
  <c r="AJ6" i="8"/>
  <c r="T6" i="8"/>
  <c r="Q6" i="8"/>
  <c r="N7" i="8"/>
  <c r="L7" i="8"/>
  <c r="J7" i="8"/>
  <c r="I7" i="8"/>
  <c r="G7" i="8"/>
  <c r="E7" i="8"/>
  <c r="D7" i="8"/>
  <c r="Z5" i="8"/>
  <c r="W5" i="8"/>
  <c r="Q5" i="8"/>
  <c r="AH5" i="8"/>
  <c r="E67" i="8"/>
  <c r="E25" i="8" s="1"/>
  <c r="AF25" i="8" s="1"/>
  <c r="AF5" i="8"/>
  <c r="AL35" i="7"/>
  <c r="AI35" i="7"/>
  <c r="AH35" i="7"/>
  <c r="AG35" i="7"/>
  <c r="AF35" i="7"/>
  <c r="L35" i="7"/>
  <c r="K35" i="7"/>
  <c r="AL34" i="7"/>
  <c r="AI34" i="7"/>
  <c r="AH34" i="7"/>
  <c r="AG34" i="7"/>
  <c r="AF34" i="7"/>
  <c r="X34" i="7"/>
  <c r="J34" i="7"/>
  <c r="AL33" i="7"/>
  <c r="AK33" i="7"/>
  <c r="AH33" i="7"/>
  <c r="AG33" i="7"/>
  <c r="AF33" i="7"/>
  <c r="AA33" i="7"/>
  <c r="O33" i="7"/>
  <c r="N33" i="7"/>
  <c r="G33" i="7"/>
  <c r="F33" i="7"/>
  <c r="AK32" i="7"/>
  <c r="W32" i="7"/>
  <c r="T32" i="7"/>
  <c r="Q32" i="7"/>
  <c r="AL31" i="7"/>
  <c r="AD31" i="7"/>
  <c r="AC31" i="7"/>
  <c r="R31" i="7"/>
  <c r="J31" i="7"/>
  <c r="I31" i="7"/>
  <c r="AG30" i="7"/>
  <c r="AL30" i="7"/>
  <c r="W30" i="7"/>
  <c r="T30" i="7"/>
  <c r="Q30" i="7"/>
  <c r="AF30" i="7"/>
  <c r="AF27" i="7"/>
  <c r="AL27" i="7"/>
  <c r="W27" i="7"/>
  <c r="S27" i="7"/>
  <c r="T27" i="7" s="1"/>
  <c r="P27" i="7"/>
  <c r="Q27" i="7" s="1"/>
  <c r="AG27" i="7"/>
  <c r="AH26" i="7"/>
  <c r="AL26" i="7"/>
  <c r="V27" i="7"/>
  <c r="W26" i="7"/>
  <c r="T26" i="7"/>
  <c r="Q26" i="7"/>
  <c r="AG26" i="7"/>
  <c r="AF26" i="7"/>
  <c r="AB25" i="7"/>
  <c r="X25" i="7"/>
  <c r="M25" i="7"/>
  <c r="J25" i="7"/>
  <c r="H25" i="7"/>
  <c r="E25" i="7"/>
  <c r="AE25" i="7"/>
  <c r="AD25" i="7"/>
  <c r="Z24" i="7"/>
  <c r="W24" i="7"/>
  <c r="T24" i="7"/>
  <c r="AJ24" i="7"/>
  <c r="AI24" i="7"/>
  <c r="N25" i="7"/>
  <c r="L25" i="7"/>
  <c r="K25" i="7"/>
  <c r="I25" i="7"/>
  <c r="AG24" i="7"/>
  <c r="F25" i="7"/>
  <c r="D25" i="7"/>
  <c r="C25" i="7"/>
  <c r="Z23" i="7"/>
  <c r="T23" i="7"/>
  <c r="Q23" i="7"/>
  <c r="AF23" i="7"/>
  <c r="AH22" i="7"/>
  <c r="AL22" i="7"/>
  <c r="Z22" i="7"/>
  <c r="W22" i="7"/>
  <c r="AG22" i="7"/>
  <c r="AK18" i="7"/>
  <c r="AK35" i="7" s="1"/>
  <c r="AE35" i="7"/>
  <c r="AD35" i="7"/>
  <c r="AA35" i="7"/>
  <c r="W18" i="7"/>
  <c r="U35" i="7"/>
  <c r="T18" i="7"/>
  <c r="R35" i="7"/>
  <c r="Q18" i="7"/>
  <c r="O35" i="7"/>
  <c r="J35" i="7"/>
  <c r="I35" i="7"/>
  <c r="H35" i="7"/>
  <c r="G35" i="7"/>
  <c r="F35" i="7"/>
  <c r="E35" i="7"/>
  <c r="D35" i="7"/>
  <c r="C35" i="7"/>
  <c r="AK17" i="7"/>
  <c r="AE34" i="7"/>
  <c r="AD34" i="7"/>
  <c r="W17" i="7"/>
  <c r="U34" i="7"/>
  <c r="T17" i="7"/>
  <c r="Q17" i="7"/>
  <c r="N34" i="7"/>
  <c r="K34" i="7"/>
  <c r="I34" i="7"/>
  <c r="H34" i="7"/>
  <c r="G34" i="7"/>
  <c r="F34" i="7"/>
  <c r="E34" i="7"/>
  <c r="D34" i="7"/>
  <c r="C34" i="7"/>
  <c r="AK16" i="7"/>
  <c r="AE33" i="7"/>
  <c r="AD33" i="7"/>
  <c r="AC33" i="7"/>
  <c r="Z16" i="7"/>
  <c r="X33" i="7"/>
  <c r="T16" i="7"/>
  <c r="R33" i="7"/>
  <c r="Q16" i="7"/>
  <c r="M33" i="7"/>
  <c r="J33" i="7"/>
  <c r="I33" i="7"/>
  <c r="H33" i="7"/>
  <c r="E33" i="7"/>
  <c r="D33" i="7"/>
  <c r="C33" i="7"/>
  <c r="AK15" i="7"/>
  <c r="W15" i="7"/>
  <c r="T15" i="7"/>
  <c r="Q15" i="7"/>
  <c r="AL14" i="7"/>
  <c r="AI14" i="7"/>
  <c r="AH14" i="7"/>
  <c r="AE31" i="7"/>
  <c r="AB31" i="7"/>
  <c r="AA31" i="7"/>
  <c r="Z14" i="7"/>
  <c r="X31" i="7"/>
  <c r="W14" i="7"/>
  <c r="M31" i="7"/>
  <c r="L31" i="7"/>
  <c r="K31" i="7"/>
  <c r="H31" i="7"/>
  <c r="E31" i="7"/>
  <c r="D31" i="7"/>
  <c r="C31" i="7"/>
  <c r="Z13" i="7"/>
  <c r="T13" i="7"/>
  <c r="Q13" i="7"/>
  <c r="AF13" i="7"/>
  <c r="AL10" i="7"/>
  <c r="V10" i="7"/>
  <c r="P10" i="7"/>
  <c r="AI10" i="7"/>
  <c r="AG10" i="7"/>
  <c r="AL9" i="7"/>
  <c r="Y10" i="7"/>
  <c r="Z10" i="7" s="1"/>
  <c r="Z9" i="7"/>
  <c r="W9" i="7"/>
  <c r="S10" i="7"/>
  <c r="T10" i="7" s="1"/>
  <c r="AJ9" i="7"/>
  <c r="AG9" i="7"/>
  <c r="X8" i="7"/>
  <c r="O8" i="7"/>
  <c r="M8" i="7"/>
  <c r="J8" i="7"/>
  <c r="G8" i="7"/>
  <c r="E8" i="7"/>
  <c r="AJ7" i="7"/>
  <c r="AI7" i="7"/>
  <c r="AD8" i="7"/>
  <c r="AC8" i="7"/>
  <c r="AA8" i="7"/>
  <c r="Z7" i="7"/>
  <c r="W7" i="7"/>
  <c r="T7" i="7"/>
  <c r="T8" i="7" s="1"/>
  <c r="R8" i="7"/>
  <c r="Q7" i="7"/>
  <c r="N8" i="7"/>
  <c r="I8" i="7"/>
  <c r="H8" i="7"/>
  <c r="AG7" i="7"/>
  <c r="F8" i="7"/>
  <c r="AI6" i="7"/>
  <c r="Z6" i="7"/>
  <c r="W6" i="7"/>
  <c r="T6" i="7"/>
  <c r="Q6" i="7"/>
  <c r="AF6" i="7"/>
  <c r="AE8" i="7"/>
  <c r="AL5" i="7"/>
  <c r="Z5" i="7"/>
  <c r="T5" i="7"/>
  <c r="Q5" i="7"/>
  <c r="AF5" i="7"/>
  <c r="AL35" i="6"/>
  <c r="AI35" i="6"/>
  <c r="AH35" i="6"/>
  <c r="AG35" i="6"/>
  <c r="AF35" i="6"/>
  <c r="L35" i="6"/>
  <c r="I35" i="6"/>
  <c r="AL34" i="6"/>
  <c r="AI34" i="6"/>
  <c r="AH34" i="6"/>
  <c r="AG34" i="6"/>
  <c r="AF34" i="6"/>
  <c r="AB34" i="6"/>
  <c r="X34" i="6"/>
  <c r="E34" i="6"/>
  <c r="AL33" i="6"/>
  <c r="AK33" i="6"/>
  <c r="AH33" i="6"/>
  <c r="AG33" i="6"/>
  <c r="AF33" i="6"/>
  <c r="AC33" i="6"/>
  <c r="X33" i="6"/>
  <c r="I33" i="6"/>
  <c r="E33" i="6"/>
  <c r="AK32" i="6"/>
  <c r="Z32" i="6"/>
  <c r="W32" i="6"/>
  <c r="T32" i="6"/>
  <c r="Q32" i="6"/>
  <c r="N31" i="6"/>
  <c r="AK30" i="6"/>
  <c r="AI30" i="6"/>
  <c r="AF30" i="6"/>
  <c r="Z30" i="6"/>
  <c r="W30" i="6"/>
  <c r="T30" i="6"/>
  <c r="Q30" i="6"/>
  <c r="AL27" i="6"/>
  <c r="S27" i="6"/>
  <c r="P27" i="6"/>
  <c r="AI26" i="6"/>
  <c r="AL26" i="6"/>
  <c r="Y27" i="6"/>
  <c r="T26" i="6"/>
  <c r="Q26" i="6"/>
  <c r="AF26" i="6"/>
  <c r="AD25" i="6"/>
  <c r="AB25" i="6"/>
  <c r="O25" i="6"/>
  <c r="M25" i="6"/>
  <c r="J25" i="6"/>
  <c r="H25" i="6"/>
  <c r="G25" i="6"/>
  <c r="E25" i="6"/>
  <c r="AI24" i="6"/>
  <c r="W24" i="6"/>
  <c r="T24" i="6"/>
  <c r="Q24" i="6"/>
  <c r="Q25" i="6" s="1"/>
  <c r="N25" i="6"/>
  <c r="L25" i="6"/>
  <c r="F25" i="6"/>
  <c r="D25" i="6"/>
  <c r="W23" i="6"/>
  <c r="T23" i="6"/>
  <c r="AL22" i="6"/>
  <c r="AE25" i="6"/>
  <c r="Z22" i="6"/>
  <c r="Q22" i="6"/>
  <c r="AF22" i="6"/>
  <c r="AK18" i="6"/>
  <c r="AK35" i="6" s="1"/>
  <c r="AE35" i="6"/>
  <c r="AD35" i="6"/>
  <c r="AC35" i="6"/>
  <c r="AB35" i="6"/>
  <c r="AA35" i="6"/>
  <c r="X35" i="6"/>
  <c r="U35" i="6"/>
  <c r="T18" i="6"/>
  <c r="R35" i="6"/>
  <c r="Q18" i="6"/>
  <c r="O35" i="6"/>
  <c r="Q35" i="6" s="1"/>
  <c r="N35" i="6"/>
  <c r="M35" i="6"/>
  <c r="K35" i="6"/>
  <c r="G35" i="6"/>
  <c r="F35" i="6"/>
  <c r="E35" i="6"/>
  <c r="D35" i="6"/>
  <c r="C35" i="6"/>
  <c r="AK17" i="6"/>
  <c r="AK34" i="6" s="1"/>
  <c r="AE34" i="6"/>
  <c r="AD34" i="6"/>
  <c r="AA34" i="6"/>
  <c r="Z17" i="6"/>
  <c r="W17" i="6"/>
  <c r="U34" i="6"/>
  <c r="W34" i="6" s="1"/>
  <c r="N34" i="6"/>
  <c r="M34" i="6"/>
  <c r="L34" i="6"/>
  <c r="K34" i="6"/>
  <c r="J34" i="6"/>
  <c r="I34" i="6"/>
  <c r="H34" i="6"/>
  <c r="F34" i="6"/>
  <c r="D34" i="6"/>
  <c r="C34" i="6"/>
  <c r="AK16" i="6"/>
  <c r="AE33" i="6"/>
  <c r="AD33" i="6"/>
  <c r="AA33" i="6"/>
  <c r="Z16" i="6"/>
  <c r="U33" i="6"/>
  <c r="R33" i="6"/>
  <c r="Q16" i="6"/>
  <c r="O33" i="6"/>
  <c r="Q33" i="6" s="1"/>
  <c r="L33" i="6"/>
  <c r="K33" i="6"/>
  <c r="J33" i="6"/>
  <c r="G33" i="6"/>
  <c r="F33" i="6"/>
  <c r="D33" i="6"/>
  <c r="C33" i="6"/>
  <c r="AK15" i="6"/>
  <c r="W15" i="6"/>
  <c r="T15" i="6"/>
  <c r="Q15" i="6"/>
  <c r="AL14" i="6"/>
  <c r="AI14" i="6"/>
  <c r="AK14" i="6" s="1"/>
  <c r="AF14" i="6"/>
  <c r="AE31" i="6"/>
  <c r="AD31" i="6"/>
  <c r="AL31" i="6" s="1"/>
  <c r="AA31" i="6"/>
  <c r="Z14" i="6"/>
  <c r="X31" i="6"/>
  <c r="AI31" i="6" s="1"/>
  <c r="AK31" i="6" s="1"/>
  <c r="Q14" i="6"/>
  <c r="O31" i="6"/>
  <c r="AH14" i="6"/>
  <c r="M31" i="6"/>
  <c r="L31" i="6"/>
  <c r="J31" i="6"/>
  <c r="H31" i="6"/>
  <c r="G31" i="6"/>
  <c r="F31" i="6"/>
  <c r="AF31" i="6" s="1"/>
  <c r="E31" i="6"/>
  <c r="D31" i="6"/>
  <c r="C31" i="6"/>
  <c r="AI13" i="6"/>
  <c r="AG13" i="6"/>
  <c r="W13" i="6"/>
  <c r="T13" i="6"/>
  <c r="AF13" i="6"/>
  <c r="AL10" i="6"/>
  <c r="Y10" i="6"/>
  <c r="Z10" i="6" s="1"/>
  <c r="V10" i="6"/>
  <c r="W10" i="6" s="1"/>
  <c r="T10" i="6"/>
  <c r="S10" i="6"/>
  <c r="AI10" i="6"/>
  <c r="AG10" i="6"/>
  <c r="Z9" i="6"/>
  <c r="W9" i="6"/>
  <c r="T9" i="6"/>
  <c r="AJ9" i="6"/>
  <c r="AG9" i="6"/>
  <c r="AF9" i="6"/>
  <c r="AE8" i="6"/>
  <c r="AC8" i="6"/>
  <c r="U8" i="6"/>
  <c r="R8" i="6"/>
  <c r="N8" i="6"/>
  <c r="K8" i="6"/>
  <c r="I8" i="6"/>
  <c r="F8" i="6"/>
  <c r="C8" i="6"/>
  <c r="AJ7" i="6"/>
  <c r="Z7" i="6"/>
  <c r="Z8" i="6" s="1"/>
  <c r="W7" i="6"/>
  <c r="T7" i="6"/>
  <c r="Q7" i="6"/>
  <c r="O8" i="6"/>
  <c r="M8" i="6"/>
  <c r="E8" i="6"/>
  <c r="AH6" i="6"/>
  <c r="Z6" i="6"/>
  <c r="W6" i="6"/>
  <c r="Q6" i="6"/>
  <c r="AF6" i="6"/>
  <c r="AF5" i="6"/>
  <c r="Z5" i="6"/>
  <c r="W5" i="6"/>
  <c r="T5" i="6"/>
  <c r="Q5" i="6"/>
  <c r="H8" i="6"/>
  <c r="AL35" i="5"/>
  <c r="AI35" i="5"/>
  <c r="AH35" i="5"/>
  <c r="AG35" i="5"/>
  <c r="U35" i="5"/>
  <c r="AL34" i="5"/>
  <c r="AI34" i="5"/>
  <c r="AH34" i="5"/>
  <c r="AG34" i="5"/>
  <c r="O34" i="5"/>
  <c r="AK33" i="5"/>
  <c r="AA33" i="5"/>
  <c r="W33" i="5"/>
  <c r="J33" i="5"/>
  <c r="G33" i="5"/>
  <c r="AK32" i="5"/>
  <c r="W32" i="5"/>
  <c r="T32" i="5"/>
  <c r="AI31" i="5"/>
  <c r="U31" i="5"/>
  <c r="K31" i="5"/>
  <c r="I31" i="5"/>
  <c r="AL30" i="5"/>
  <c r="Z30" i="5"/>
  <c r="Q30" i="5"/>
  <c r="AH30" i="5"/>
  <c r="AL27" i="5"/>
  <c r="AI27" i="5"/>
  <c r="S27" i="5"/>
  <c r="T27" i="5" s="1"/>
  <c r="P27" i="5"/>
  <c r="AJ26" i="5"/>
  <c r="AJ27" i="5" s="1"/>
  <c r="Y27" i="5"/>
  <c r="W26" i="5"/>
  <c r="AI26" i="5"/>
  <c r="AD25" i="5"/>
  <c r="AB25" i="5"/>
  <c r="AA25" i="5"/>
  <c r="X25" i="5"/>
  <c r="N25" i="5"/>
  <c r="M25" i="5"/>
  <c r="J25" i="5"/>
  <c r="AH24" i="5"/>
  <c r="AE25" i="5"/>
  <c r="AC25" i="5"/>
  <c r="AL24" i="5"/>
  <c r="W24" i="5"/>
  <c r="T24" i="5"/>
  <c r="K25" i="5"/>
  <c r="AL23" i="5"/>
  <c r="AH23" i="5"/>
  <c r="Z23" i="5"/>
  <c r="Q23" i="5"/>
  <c r="AG22" i="5"/>
  <c r="Z22" i="5"/>
  <c r="W22" i="5"/>
  <c r="U25" i="5"/>
  <c r="Q22" i="5"/>
  <c r="AK18" i="5"/>
  <c r="AK35" i="5" s="1"/>
  <c r="AE35" i="5"/>
  <c r="AD35" i="5"/>
  <c r="AC35" i="5"/>
  <c r="AA35" i="5"/>
  <c r="Z18" i="5"/>
  <c r="X35" i="5"/>
  <c r="Z35" i="5" s="1"/>
  <c r="W18" i="5"/>
  <c r="R35" i="5"/>
  <c r="Q18" i="5"/>
  <c r="O35" i="5"/>
  <c r="Q35" i="5" s="1"/>
  <c r="M35" i="5"/>
  <c r="L35" i="5"/>
  <c r="K35" i="5"/>
  <c r="J35" i="5"/>
  <c r="I35" i="5"/>
  <c r="H35" i="5"/>
  <c r="G35" i="5"/>
  <c r="AK17" i="5"/>
  <c r="AK34" i="5" s="1"/>
  <c r="AE34" i="5"/>
  <c r="AD34" i="5"/>
  <c r="AB34" i="5"/>
  <c r="AA34" i="5"/>
  <c r="Z17" i="5"/>
  <c r="X34" i="5"/>
  <c r="Z34" i="5" s="1"/>
  <c r="Q17" i="5"/>
  <c r="N34" i="5"/>
  <c r="M34" i="5"/>
  <c r="L34" i="5"/>
  <c r="K34" i="5"/>
  <c r="H34" i="5"/>
  <c r="G34" i="5"/>
  <c r="AK16" i="5"/>
  <c r="AE33" i="5"/>
  <c r="AD33" i="5"/>
  <c r="AC33" i="5"/>
  <c r="Z16" i="5"/>
  <c r="X33" i="5"/>
  <c r="W16" i="5"/>
  <c r="U33" i="5"/>
  <c r="R33" i="5"/>
  <c r="O33" i="5"/>
  <c r="Q33" i="5" s="1"/>
  <c r="N33" i="5"/>
  <c r="K33" i="5"/>
  <c r="I33" i="5"/>
  <c r="H33" i="5"/>
  <c r="AK15" i="5"/>
  <c r="W15" i="5"/>
  <c r="AL14" i="5"/>
  <c r="AI14" i="5"/>
  <c r="AE31" i="5"/>
  <c r="AD31" i="5"/>
  <c r="AL31" i="5" s="1"/>
  <c r="AC31" i="5"/>
  <c r="AB31" i="5"/>
  <c r="Z14" i="5"/>
  <c r="X31" i="5"/>
  <c r="Z31" i="5" s="1"/>
  <c r="W14" i="5"/>
  <c r="R31" i="5"/>
  <c r="Q14" i="5"/>
  <c r="O31" i="5"/>
  <c r="Q31" i="5" s="1"/>
  <c r="M31" i="5"/>
  <c r="L31" i="5"/>
  <c r="G31" i="5"/>
  <c r="AH13" i="5"/>
  <c r="AL13" i="5"/>
  <c r="W13" i="5"/>
  <c r="T13" i="5"/>
  <c r="AH10" i="5"/>
  <c r="AG10" i="5"/>
  <c r="AL10" i="5"/>
  <c r="Y10" i="5"/>
  <c r="Q10" i="5"/>
  <c r="P10" i="5"/>
  <c r="AL9" i="5"/>
  <c r="Z9" i="5"/>
  <c r="V10" i="5"/>
  <c r="W10" i="5" s="1"/>
  <c r="T9" i="5"/>
  <c r="AJ9" i="5"/>
  <c r="AG9" i="5"/>
  <c r="AE8" i="5"/>
  <c r="AD8" i="5"/>
  <c r="J8" i="5"/>
  <c r="AG7" i="5"/>
  <c r="AC8" i="5"/>
  <c r="AB8" i="5"/>
  <c r="AL7" i="5"/>
  <c r="R8" i="5"/>
  <c r="I8" i="5"/>
  <c r="H8" i="5"/>
  <c r="G8" i="5"/>
  <c r="AI6" i="5"/>
  <c r="AG6" i="5"/>
  <c r="AL6" i="5"/>
  <c r="Z6" i="5"/>
  <c r="W6" i="5"/>
  <c r="T6" i="5"/>
  <c r="AH6" i="5"/>
  <c r="AG5" i="5"/>
  <c r="AL5" i="5"/>
  <c r="T5" i="5"/>
  <c r="Q5" i="5"/>
  <c r="K8" i="5"/>
  <c r="N63" i="4"/>
  <c r="AI62" i="4"/>
  <c r="AF62" i="4"/>
  <c r="AL62" i="4"/>
  <c r="W62" i="4"/>
  <c r="X63" i="4" s="1"/>
  <c r="T62" i="4"/>
  <c r="J62" i="4"/>
  <c r="AG62" i="4" s="1"/>
  <c r="AI61" i="4"/>
  <c r="AG61" i="4"/>
  <c r="AF61" i="4"/>
  <c r="AE63" i="4"/>
  <c r="AD63" i="4"/>
  <c r="AD32" i="4" s="1"/>
  <c r="AC63" i="4"/>
  <c r="AL61" i="4"/>
  <c r="W61" i="4"/>
  <c r="T61" i="4"/>
  <c r="O63" i="4"/>
  <c r="L63" i="4"/>
  <c r="J63" i="4"/>
  <c r="W60" i="4"/>
  <c r="T60" i="4"/>
  <c r="Q60" i="4"/>
  <c r="AL59" i="4"/>
  <c r="AH59" i="4"/>
  <c r="AG59" i="4"/>
  <c r="AF59" i="4"/>
  <c r="Z59" i="4"/>
  <c r="W59" i="4"/>
  <c r="T59" i="4"/>
  <c r="J59" i="4"/>
  <c r="AG58" i="4"/>
  <c r="AF58" i="4"/>
  <c r="W58" i="4"/>
  <c r="T58" i="4"/>
  <c r="AH58" i="4"/>
  <c r="AG57" i="4"/>
  <c r="AF57" i="4"/>
  <c r="AL57" i="4"/>
  <c r="Z57" i="4"/>
  <c r="W57" i="4"/>
  <c r="T57" i="4"/>
  <c r="Q57" i="4"/>
  <c r="AG56" i="4"/>
  <c r="AF56" i="4"/>
  <c r="AL56" i="4"/>
  <c r="W56" i="4"/>
  <c r="T56" i="4"/>
  <c r="Q56" i="4"/>
  <c r="AL53" i="4"/>
  <c r="AK53" i="4"/>
  <c r="AI53" i="4"/>
  <c r="AH53" i="4"/>
  <c r="AG53" i="4"/>
  <c r="AF53" i="4"/>
  <c r="N53" i="4"/>
  <c r="AL52" i="4"/>
  <c r="AK52" i="4"/>
  <c r="AI52" i="4"/>
  <c r="AH52" i="4"/>
  <c r="AG52" i="4"/>
  <c r="AF52" i="4"/>
  <c r="AC52" i="4"/>
  <c r="O52" i="4"/>
  <c r="I52" i="4"/>
  <c r="AL51" i="4"/>
  <c r="AK51" i="4"/>
  <c r="AI51" i="4"/>
  <c r="AH51" i="4"/>
  <c r="AG51" i="4"/>
  <c r="AF51" i="4"/>
  <c r="Z50" i="4"/>
  <c r="W50" i="4"/>
  <c r="T50" i="4"/>
  <c r="Q50" i="4"/>
  <c r="AF49" i="4"/>
  <c r="AC49" i="4"/>
  <c r="X49" i="4"/>
  <c r="K49" i="4"/>
  <c r="I49" i="4"/>
  <c r="AF48" i="4"/>
  <c r="AC48" i="4"/>
  <c r="N48" i="4"/>
  <c r="K48" i="4"/>
  <c r="AF47" i="4"/>
  <c r="W47" i="4"/>
  <c r="T47" i="4"/>
  <c r="AG47" i="4"/>
  <c r="AF46" i="4"/>
  <c r="Z46" i="4"/>
  <c r="W46" i="4"/>
  <c r="T46" i="4"/>
  <c r="Q46" i="4"/>
  <c r="AG46" i="4"/>
  <c r="AF45" i="4"/>
  <c r="Z45" i="4"/>
  <c r="W45" i="4"/>
  <c r="T45" i="4"/>
  <c r="Q45" i="4"/>
  <c r="AL40" i="4"/>
  <c r="AF40" i="4"/>
  <c r="Y40" i="4"/>
  <c r="V40" i="4"/>
  <c r="P40" i="4"/>
  <c r="Q40" i="4" s="1"/>
  <c r="AG40" i="4"/>
  <c r="AI39" i="4"/>
  <c r="AF39" i="4"/>
  <c r="AL39" i="4"/>
  <c r="Z39" i="4"/>
  <c r="W39" i="4"/>
  <c r="S40" i="4"/>
  <c r="Q39" i="4"/>
  <c r="AG39" i="4"/>
  <c r="AE38" i="4"/>
  <c r="U38" i="4"/>
  <c r="N38" i="4"/>
  <c r="M38" i="4"/>
  <c r="K38" i="4"/>
  <c r="I38" i="4"/>
  <c r="AH37" i="4"/>
  <c r="AF37" i="4"/>
  <c r="AC38" i="4"/>
  <c r="AL37" i="4"/>
  <c r="Z37" i="4"/>
  <c r="X38" i="4"/>
  <c r="W37" i="4"/>
  <c r="AJ37" i="4"/>
  <c r="J38" i="4"/>
  <c r="H38" i="4"/>
  <c r="AF36" i="4"/>
  <c r="AD38" i="4"/>
  <c r="Z36" i="4"/>
  <c r="W36" i="4"/>
  <c r="T36" i="4"/>
  <c r="Q36" i="4"/>
  <c r="AI36" i="4"/>
  <c r="AG36" i="4"/>
  <c r="AC32" i="4"/>
  <c r="N32" i="4"/>
  <c r="L32" i="4"/>
  <c r="AL31" i="4"/>
  <c r="AI31" i="4"/>
  <c r="AK31" i="4" s="1"/>
  <c r="AG31" i="4"/>
  <c r="AF31" i="4"/>
  <c r="Z31" i="4"/>
  <c r="W31" i="4"/>
  <c r="T31" i="4"/>
  <c r="I62" i="4"/>
  <c r="H62" i="4"/>
  <c r="G62" i="4"/>
  <c r="AF30" i="4"/>
  <c r="AD30" i="4"/>
  <c r="AC30" i="4"/>
  <c r="AB30" i="4"/>
  <c r="AA30" i="4"/>
  <c r="X30" i="4"/>
  <c r="Z30" i="4" s="1"/>
  <c r="U30" i="4"/>
  <c r="R30" i="4"/>
  <c r="T30" i="4" s="1"/>
  <c r="O30" i="4"/>
  <c r="Q30" i="4" s="1"/>
  <c r="N30" i="4"/>
  <c r="M30" i="4"/>
  <c r="L30" i="4"/>
  <c r="K30" i="4"/>
  <c r="J30" i="4"/>
  <c r="AG30" i="4" s="1"/>
  <c r="AD29" i="4"/>
  <c r="AC29" i="4"/>
  <c r="AB29" i="4"/>
  <c r="AA29" i="4"/>
  <c r="X29" i="4"/>
  <c r="Z29" i="4" s="1"/>
  <c r="U29" i="4"/>
  <c r="R29" i="4"/>
  <c r="T29" i="4" s="1"/>
  <c r="O29" i="4"/>
  <c r="Q29" i="4" s="1"/>
  <c r="N29" i="4"/>
  <c r="M29" i="4"/>
  <c r="L29" i="4"/>
  <c r="K29" i="4"/>
  <c r="AG28" i="4"/>
  <c r="AF28" i="4"/>
  <c r="AL28" i="4"/>
  <c r="T28" i="4"/>
  <c r="Q28" i="4"/>
  <c r="I59" i="4"/>
  <c r="I60" i="4" s="1"/>
  <c r="I29" i="4" s="1"/>
  <c r="H59" i="4"/>
  <c r="AF27" i="4"/>
  <c r="Z27" i="4"/>
  <c r="W27" i="4"/>
  <c r="T27" i="4"/>
  <c r="Q27" i="4"/>
  <c r="AG27" i="4"/>
  <c r="AL26" i="4"/>
  <c r="AF26" i="4"/>
  <c r="Z26" i="4"/>
  <c r="Q26" i="4"/>
  <c r="AL25" i="4"/>
  <c r="AF25" i="4"/>
  <c r="Z25" i="4"/>
  <c r="Q25" i="4"/>
  <c r="AE53" i="4"/>
  <c r="AD53" i="4"/>
  <c r="AC53" i="4"/>
  <c r="AA53" i="4"/>
  <c r="X53" i="4"/>
  <c r="U53" i="4"/>
  <c r="W53" i="4" s="1"/>
  <c r="T22" i="4"/>
  <c r="R53" i="4"/>
  <c r="Q22" i="4"/>
  <c r="M53" i="4"/>
  <c r="L53" i="4"/>
  <c r="K53" i="4"/>
  <c r="I53" i="4"/>
  <c r="G53" i="4"/>
  <c r="AE52" i="4"/>
  <c r="AD52" i="4"/>
  <c r="AB52" i="4"/>
  <c r="AA52" i="4"/>
  <c r="X52" i="4"/>
  <c r="W21" i="4"/>
  <c r="U52" i="4"/>
  <c r="W52" i="4" s="1"/>
  <c r="T21" i="4"/>
  <c r="Q21" i="4"/>
  <c r="N52" i="4"/>
  <c r="M52" i="4"/>
  <c r="K52" i="4"/>
  <c r="H52" i="4"/>
  <c r="G52" i="4"/>
  <c r="AE51" i="4"/>
  <c r="AD51" i="4"/>
  <c r="AC51" i="4"/>
  <c r="AB51" i="4"/>
  <c r="AA51" i="4"/>
  <c r="Z20" i="4"/>
  <c r="X51" i="4"/>
  <c r="W20" i="4"/>
  <c r="U51" i="4"/>
  <c r="W51" i="4" s="1"/>
  <c r="T20" i="4"/>
  <c r="Q20" i="4"/>
  <c r="M51" i="4"/>
  <c r="K51" i="4"/>
  <c r="J51" i="4"/>
  <c r="I51" i="4"/>
  <c r="H51" i="4"/>
  <c r="G51" i="4"/>
  <c r="Z19" i="4"/>
  <c r="W19" i="4"/>
  <c r="T19" i="4"/>
  <c r="Q19" i="4"/>
  <c r="AL18" i="4"/>
  <c r="AH18" i="4"/>
  <c r="AG18" i="4"/>
  <c r="AF18" i="4"/>
  <c r="AE49" i="4"/>
  <c r="AD49" i="4"/>
  <c r="AL49" i="4" s="1"/>
  <c r="AA49" i="4"/>
  <c r="Z18" i="4"/>
  <c r="U49" i="4"/>
  <c r="W49" i="4" s="1"/>
  <c r="Q18" i="4"/>
  <c r="O49" i="4"/>
  <c r="M49" i="4"/>
  <c r="L49" i="4"/>
  <c r="J49" i="4"/>
  <c r="G49" i="4"/>
  <c r="AL17" i="4"/>
  <c r="AG17" i="4"/>
  <c r="AF17" i="4"/>
  <c r="AE48" i="4"/>
  <c r="AD48" i="4"/>
  <c r="AL48" i="4" s="1"/>
  <c r="AA48" i="4"/>
  <c r="Z17" i="4"/>
  <c r="X48" i="4"/>
  <c r="Z48" i="4" s="1"/>
  <c r="W17" i="4"/>
  <c r="U48" i="4"/>
  <c r="Q17" i="4"/>
  <c r="O48" i="4"/>
  <c r="Q48" i="4" s="1"/>
  <c r="AH17" i="4"/>
  <c r="M48" i="4"/>
  <c r="L48" i="4"/>
  <c r="J48" i="4"/>
  <c r="I48" i="4"/>
  <c r="G48" i="4"/>
  <c r="AF16" i="4"/>
  <c r="Z16" i="4"/>
  <c r="W16" i="4"/>
  <c r="Q16" i="4"/>
  <c r="AF15" i="4"/>
  <c r="Z15" i="4"/>
  <c r="W15" i="4"/>
  <c r="Q15" i="4"/>
  <c r="AF14" i="4"/>
  <c r="Z14" i="4"/>
  <c r="W14" i="4"/>
  <c r="Q14" i="4"/>
  <c r="AF9" i="4"/>
  <c r="P9" i="4"/>
  <c r="Q9" i="4" s="1"/>
  <c r="AH9" i="4"/>
  <c r="AH8" i="4"/>
  <c r="AF8" i="4"/>
  <c r="AL8" i="4"/>
  <c r="W8" i="4"/>
  <c r="T8" i="4"/>
  <c r="AI8" i="4"/>
  <c r="N7" i="4"/>
  <c r="H7" i="4"/>
  <c r="AJ6" i="4"/>
  <c r="AF6" i="4"/>
  <c r="AE7" i="4"/>
  <c r="AD7" i="4"/>
  <c r="AC7" i="4"/>
  <c r="Z6" i="4"/>
  <c r="X7" i="4"/>
  <c r="T6" i="4"/>
  <c r="Q6" i="4"/>
  <c r="Q7" i="4" s="1"/>
  <c r="M7" i="4"/>
  <c r="J7" i="4"/>
  <c r="AL5" i="4"/>
  <c r="AF5" i="4"/>
  <c r="Z5" i="4"/>
  <c r="W5" i="4"/>
  <c r="Q5" i="4"/>
  <c r="I7" i="4"/>
  <c r="AG5" i="4"/>
  <c r="Z24" i="3"/>
  <c r="J24" i="3"/>
  <c r="I24" i="3"/>
  <c r="H24" i="3"/>
  <c r="G24" i="3"/>
  <c r="F24" i="3"/>
  <c r="E24" i="3"/>
  <c r="D24" i="3"/>
  <c r="C24" i="3"/>
  <c r="W23" i="3"/>
  <c r="V23" i="3"/>
  <c r="AB23" i="3" s="1"/>
  <c r="U23" i="3"/>
  <c r="T23" i="3"/>
  <c r="S23" i="3"/>
  <c r="R23" i="3"/>
  <c r="AA23" i="3" s="1"/>
  <c r="Q23" i="3"/>
  <c r="P23" i="3"/>
  <c r="O23" i="3"/>
  <c r="M23" i="3"/>
  <c r="K23" i="3"/>
  <c r="I23" i="3"/>
  <c r="H23" i="3"/>
  <c r="G23" i="3"/>
  <c r="G25" i="3" s="1"/>
  <c r="D23" i="3"/>
  <c r="D25" i="3" s="1"/>
  <c r="C23" i="3"/>
  <c r="AB22" i="3"/>
  <c r="AA22" i="3"/>
  <c r="Y22" i="3"/>
  <c r="X22" i="3"/>
  <c r="Z22" i="3"/>
  <c r="Y21" i="3"/>
  <c r="X21" i="3"/>
  <c r="W21" i="3"/>
  <c r="V21" i="3"/>
  <c r="AB21" i="3" s="1"/>
  <c r="U21" i="3"/>
  <c r="T21" i="3"/>
  <c r="S21" i="3"/>
  <c r="R21" i="3"/>
  <c r="Q21" i="3"/>
  <c r="P21" i="3"/>
  <c r="P24" i="3" s="1"/>
  <c r="O21" i="3"/>
  <c r="O24" i="3" s="1"/>
  <c r="N21" i="3"/>
  <c r="Z21" i="3" s="1"/>
  <c r="M21" i="3"/>
  <c r="M25" i="3" s="1"/>
  <c r="L21" i="3"/>
  <c r="K21" i="3"/>
  <c r="K25" i="3" s="1"/>
  <c r="AB20" i="3"/>
  <c r="AA20" i="3"/>
  <c r="Z20" i="3"/>
  <c r="Y20" i="3"/>
  <c r="X20" i="3"/>
  <c r="AB19" i="3"/>
  <c r="AA19" i="3"/>
  <c r="Z19" i="3"/>
  <c r="Y19" i="3"/>
  <c r="X19" i="3"/>
  <c r="AB18" i="3"/>
  <c r="AA18" i="3"/>
  <c r="Z18" i="3"/>
  <c r="Y18" i="3"/>
  <c r="X18" i="3"/>
  <c r="Z17" i="3"/>
  <c r="X17" i="3"/>
  <c r="W17" i="3"/>
  <c r="V17" i="3"/>
  <c r="AB17" i="3" s="1"/>
  <c r="U17" i="3"/>
  <c r="U24" i="3" s="1"/>
  <c r="T17" i="3"/>
  <c r="S17" i="3"/>
  <c r="N12" i="3"/>
  <c r="Z12" i="3" s="1"/>
  <c r="M12" i="3"/>
  <c r="L12" i="3"/>
  <c r="K12" i="3"/>
  <c r="J12" i="3"/>
  <c r="Y12" i="3" s="1"/>
  <c r="I12" i="3"/>
  <c r="H12" i="3"/>
  <c r="G12" i="3"/>
  <c r="F12" i="3"/>
  <c r="X12" i="3" s="1"/>
  <c r="E12" i="3"/>
  <c r="D12" i="3"/>
  <c r="C12" i="3"/>
  <c r="W11" i="3"/>
  <c r="V11" i="3"/>
  <c r="AB11" i="3" s="1"/>
  <c r="U11" i="3"/>
  <c r="T11" i="3"/>
  <c r="S11" i="3"/>
  <c r="R11" i="3"/>
  <c r="Q11" i="3"/>
  <c r="P11" i="3"/>
  <c r="O11" i="3"/>
  <c r="N11" i="3"/>
  <c r="Z11" i="3" s="1"/>
  <c r="M11" i="3"/>
  <c r="L11" i="3"/>
  <c r="K11" i="3"/>
  <c r="J11" i="3"/>
  <c r="I11" i="3"/>
  <c r="H11" i="3"/>
  <c r="G11" i="3"/>
  <c r="F11" i="3"/>
  <c r="X11" i="3" s="1"/>
  <c r="E11" i="3"/>
  <c r="D11" i="3"/>
  <c r="C11" i="3"/>
  <c r="W10" i="3"/>
  <c r="V10" i="3"/>
  <c r="AB10" i="3" s="1"/>
  <c r="U10" i="3"/>
  <c r="T10" i="3"/>
  <c r="S10" i="3"/>
  <c r="R10" i="3"/>
  <c r="AA10" i="3" s="1"/>
  <c r="Q10" i="3"/>
  <c r="P10" i="3"/>
  <c r="O10" i="3"/>
  <c r="N10" i="3"/>
  <c r="Z10" i="3" s="1"/>
  <c r="M10" i="3"/>
  <c r="L10" i="3"/>
  <c r="K10" i="3"/>
  <c r="J10" i="3"/>
  <c r="Y10" i="3" s="1"/>
  <c r="I10" i="3"/>
  <c r="H10" i="3"/>
  <c r="G10" i="3"/>
  <c r="F10" i="3"/>
  <c r="X10" i="3" s="1"/>
  <c r="E10" i="3"/>
  <c r="D10" i="3"/>
  <c r="C10" i="3"/>
  <c r="W9" i="3"/>
  <c r="V9" i="3"/>
  <c r="AB9" i="3" s="1"/>
  <c r="U9" i="3"/>
  <c r="T9" i="3"/>
  <c r="S9" i="3"/>
  <c r="R9" i="3"/>
  <c r="AA9" i="3" s="1"/>
  <c r="Q9" i="3"/>
  <c r="P9" i="3"/>
  <c r="O9" i="3"/>
  <c r="N9" i="3"/>
  <c r="Z9" i="3" s="1"/>
  <c r="M9" i="3"/>
  <c r="L9" i="3"/>
  <c r="K9" i="3"/>
  <c r="J9" i="3"/>
  <c r="Y9" i="3" s="1"/>
  <c r="I9" i="3"/>
  <c r="H9" i="3"/>
  <c r="G9" i="3"/>
  <c r="F9" i="3"/>
  <c r="X9" i="3" s="1"/>
  <c r="E9" i="3"/>
  <c r="D9" i="3"/>
  <c r="C9" i="3"/>
  <c r="W8" i="3"/>
  <c r="V8" i="3"/>
  <c r="AB8" i="3" s="1"/>
  <c r="U8" i="3"/>
  <c r="T8" i="3"/>
  <c r="S8" i="3"/>
  <c r="R8" i="3"/>
  <c r="Q8" i="3"/>
  <c r="P8" i="3"/>
  <c r="O8" i="3"/>
  <c r="N8" i="3"/>
  <c r="Z8" i="3" s="1"/>
  <c r="M8" i="3"/>
  <c r="L8" i="3"/>
  <c r="K8" i="3"/>
  <c r="J8" i="3"/>
  <c r="I8" i="3"/>
  <c r="H8" i="3"/>
  <c r="G8" i="3"/>
  <c r="F8" i="3"/>
  <c r="X8" i="3" s="1"/>
  <c r="E8" i="3"/>
  <c r="D8" i="3"/>
  <c r="C8" i="3"/>
  <c r="W7" i="3"/>
  <c r="V7" i="3"/>
  <c r="U7" i="3"/>
  <c r="T7" i="3"/>
  <c r="S7" i="3"/>
  <c r="R7" i="3"/>
  <c r="AA7" i="3" s="1"/>
  <c r="Q7" i="3"/>
  <c r="P7" i="3"/>
  <c r="O7" i="3"/>
  <c r="N7" i="3"/>
  <c r="M7" i="3"/>
  <c r="L7" i="3"/>
  <c r="K7" i="3"/>
  <c r="J7" i="3"/>
  <c r="Y7" i="3" s="1"/>
  <c r="I7" i="3"/>
  <c r="H7" i="3"/>
  <c r="G7" i="3"/>
  <c r="F7" i="3"/>
  <c r="X7" i="3" s="1"/>
  <c r="W6" i="3"/>
  <c r="V6" i="3"/>
  <c r="AB6" i="3" s="1"/>
  <c r="U6" i="3"/>
  <c r="T6" i="3"/>
  <c r="S6" i="3"/>
  <c r="R6" i="3"/>
  <c r="AA6" i="3" s="1"/>
  <c r="Q6" i="3"/>
  <c r="P6" i="3"/>
  <c r="O6" i="3"/>
  <c r="N6" i="3"/>
  <c r="Z6" i="3" s="1"/>
  <c r="M6" i="3"/>
  <c r="L6" i="3"/>
  <c r="K6" i="3"/>
  <c r="J6" i="3"/>
  <c r="Y6" i="3" s="1"/>
  <c r="I6" i="3"/>
  <c r="H6" i="3"/>
  <c r="G6" i="3"/>
  <c r="F6" i="3"/>
  <c r="X6" i="3" s="1"/>
  <c r="E6" i="3"/>
  <c r="D6" i="3"/>
  <c r="C6" i="3"/>
  <c r="W5" i="3"/>
  <c r="W12" i="3" s="1"/>
  <c r="V5" i="3"/>
  <c r="AB5" i="3" s="1"/>
  <c r="U5" i="3"/>
  <c r="T5" i="3"/>
  <c r="S5" i="3"/>
  <c r="R5" i="3"/>
  <c r="AA5" i="3" s="1"/>
  <c r="Q5" i="3"/>
  <c r="P5" i="3"/>
  <c r="O5" i="3"/>
  <c r="M5" i="3"/>
  <c r="L5" i="3"/>
  <c r="K5" i="3"/>
  <c r="J5" i="3"/>
  <c r="Y5" i="3" s="1"/>
  <c r="I5" i="3"/>
  <c r="H5" i="3"/>
  <c r="G5" i="3"/>
  <c r="F5" i="3"/>
  <c r="X5" i="3" s="1"/>
  <c r="E5" i="3"/>
  <c r="D5" i="3"/>
  <c r="C5" i="3"/>
  <c r="AL19" i="2"/>
  <c r="X18" i="2"/>
  <c r="AD18" i="2"/>
  <c r="AA18" i="2"/>
  <c r="P17" i="2"/>
  <c r="AH17" i="2"/>
  <c r="G18" i="2"/>
  <c r="AL16" i="2"/>
  <c r="AJ16" i="2"/>
  <c r="Z16" i="2"/>
  <c r="Y17" i="2"/>
  <c r="Z17" i="2" s="1"/>
  <c r="V17" i="2"/>
  <c r="S17" i="2"/>
  <c r="T16" i="2"/>
  <c r="Q16" i="2"/>
  <c r="AH16" i="2"/>
  <c r="AJ12" i="2"/>
  <c r="AK12" i="2" s="1"/>
  <c r="Z12" i="2"/>
  <c r="W12" i="2"/>
  <c r="Z11" i="2"/>
  <c r="Q11" i="2"/>
  <c r="Z10" i="2"/>
  <c r="W10" i="2"/>
  <c r="T10" i="2"/>
  <c r="AJ10" i="2"/>
  <c r="Q10" i="2"/>
  <c r="AI9" i="2"/>
  <c r="AG9" i="2"/>
  <c r="L9" i="2"/>
  <c r="AL9" i="2"/>
  <c r="AH9" i="2"/>
  <c r="AE9" i="2"/>
  <c r="AD9" i="2"/>
  <c r="AC9" i="2"/>
  <c r="AB9" i="2"/>
  <c r="AA9" i="2"/>
  <c r="Z8" i="2"/>
  <c r="W8" i="2"/>
  <c r="T8" i="2"/>
  <c r="AJ8" i="2"/>
  <c r="Q8" i="2"/>
  <c r="N9" i="2"/>
  <c r="I9" i="2"/>
  <c r="H9" i="2"/>
  <c r="G9" i="2"/>
  <c r="AK7" i="2"/>
  <c r="W7" i="2"/>
  <c r="T7" i="2"/>
  <c r="AK6" i="2"/>
  <c r="AE18" i="2"/>
  <c r="Z6" i="2"/>
  <c r="T6" i="2"/>
  <c r="R9" i="2"/>
  <c r="Q6" i="2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K8" i="1"/>
  <c r="G8" i="1"/>
  <c r="K7" i="1"/>
  <c r="G7" i="1"/>
  <c r="K6" i="1"/>
  <c r="G6" i="1"/>
  <c r="K5" i="1"/>
  <c r="AE32" i="4"/>
  <c r="AI25" i="10" l="1"/>
  <c r="AK25" i="10" s="1"/>
  <c r="C13" i="3"/>
  <c r="E53" i="10"/>
  <c r="E27" i="10" s="1"/>
  <c r="Z33" i="10"/>
  <c r="AK9" i="8"/>
  <c r="F53" i="8"/>
  <c r="AI26" i="8"/>
  <c r="M13" i="3"/>
  <c r="Q8" i="6"/>
  <c r="Q12" i="3"/>
  <c r="K13" i="3"/>
  <c r="AL8" i="5"/>
  <c r="K63" i="4"/>
  <c r="K32" i="4" s="1"/>
  <c r="Z7" i="4"/>
  <c r="AL30" i="4"/>
  <c r="Z38" i="4"/>
  <c r="D13" i="3"/>
  <c r="W24" i="3"/>
  <c r="E13" i="3"/>
  <c r="R12" i="3"/>
  <c r="AA12" i="3" s="1"/>
  <c r="T24" i="3"/>
  <c r="S12" i="3"/>
  <c r="X14" i="3" s="1"/>
  <c r="Z9" i="2"/>
  <c r="T9" i="2"/>
  <c r="Q9" i="2"/>
  <c r="AK10" i="2"/>
  <c r="AK8" i="2"/>
  <c r="W48" i="4"/>
  <c r="AL58" i="4"/>
  <c r="AB33" i="6"/>
  <c r="AE67" i="10"/>
  <c r="AA67" i="10"/>
  <c r="AA25" i="10" s="1"/>
  <c r="J9" i="2"/>
  <c r="AL13" i="2"/>
  <c r="AI16" i="2"/>
  <c r="Q17" i="2"/>
  <c r="Z18" i="2"/>
  <c r="AJ17" i="2"/>
  <c r="U18" i="2"/>
  <c r="AH18" i="2"/>
  <c r="Y11" i="3"/>
  <c r="AA11" i="3"/>
  <c r="O12" i="3"/>
  <c r="J13" i="3"/>
  <c r="T12" i="3"/>
  <c r="S24" i="3"/>
  <c r="R7" i="4"/>
  <c r="AL6" i="4"/>
  <c r="AL7" i="4" s="1"/>
  <c r="AH14" i="4"/>
  <c r="AG15" i="4"/>
  <c r="AH16" i="4"/>
  <c r="H48" i="4"/>
  <c r="AG49" i="4"/>
  <c r="J52" i="4"/>
  <c r="W25" i="4"/>
  <c r="W28" i="4"/>
  <c r="Y17" i="3"/>
  <c r="W29" i="4"/>
  <c r="AE30" i="4"/>
  <c r="AH31" i="4"/>
  <c r="R38" i="4"/>
  <c r="T37" i="4"/>
  <c r="AI37" i="4"/>
  <c r="AG45" i="4"/>
  <c r="Q52" i="4"/>
  <c r="AH57" i="4"/>
  <c r="AG8" i="5"/>
  <c r="W23" i="5"/>
  <c r="AG16" i="9"/>
  <c r="AB27" i="10"/>
  <c r="K9" i="2"/>
  <c r="U9" i="2"/>
  <c r="AL17" i="2"/>
  <c r="AL18" i="2" s="1"/>
  <c r="V12" i="3"/>
  <c r="AB7" i="3"/>
  <c r="L13" i="3"/>
  <c r="U12" i="3"/>
  <c r="H25" i="3"/>
  <c r="AH25" i="4"/>
  <c r="T26" i="4"/>
  <c r="AI28" i="4"/>
  <c r="Z28" i="4"/>
  <c r="AB38" i="4"/>
  <c r="Z47" i="4"/>
  <c r="AH48" i="4"/>
  <c r="H53" i="4"/>
  <c r="Z58" i="4"/>
  <c r="AI58" i="4"/>
  <c r="AI5" i="5"/>
  <c r="U8" i="5"/>
  <c r="W5" i="5"/>
  <c r="O8" i="5"/>
  <c r="AI7" i="5"/>
  <c r="Q7" i="5"/>
  <c r="W9" i="5"/>
  <c r="T31" i="5"/>
  <c r="T15" i="5"/>
  <c r="Q34" i="5"/>
  <c r="AG48" i="4"/>
  <c r="L52" i="4"/>
  <c r="AH30" i="4"/>
  <c r="J32" i="4"/>
  <c r="W6" i="2"/>
  <c r="Z7" i="2"/>
  <c r="M9" i="2"/>
  <c r="X9" i="2"/>
  <c r="T11" i="2"/>
  <c r="Q12" i="2"/>
  <c r="AC18" i="2"/>
  <c r="Y8" i="3"/>
  <c r="V24" i="3"/>
  <c r="AB24" i="3" s="1"/>
  <c r="AB25" i="3" s="1"/>
  <c r="L7" i="4"/>
  <c r="U7" i="4"/>
  <c r="W6" i="4"/>
  <c r="AG8" i="4"/>
  <c r="AL14" i="4"/>
  <c r="AL16" i="4"/>
  <c r="AH26" i="4"/>
  <c r="AL45" i="4"/>
  <c r="AB53" i="4"/>
  <c r="AH56" i="4"/>
  <c r="L8" i="5"/>
  <c r="R18" i="2"/>
  <c r="T17" i="2"/>
  <c r="W16" i="2"/>
  <c r="M18" i="2"/>
  <c r="AB18" i="2"/>
  <c r="F13" i="3"/>
  <c r="Z7" i="3"/>
  <c r="T5" i="4"/>
  <c r="Y9" i="4"/>
  <c r="Z8" i="4"/>
  <c r="AG14" i="4"/>
  <c r="AH15" i="4"/>
  <c r="AG16" i="4"/>
  <c r="AI48" i="4"/>
  <c r="N49" i="4"/>
  <c r="AB49" i="4"/>
  <c r="L51" i="4"/>
  <c r="G63" i="4"/>
  <c r="AF38" i="4"/>
  <c r="T40" i="4"/>
  <c r="Z56" i="4"/>
  <c r="H33" i="6"/>
  <c r="W38" i="4"/>
  <c r="Q7" i="2"/>
  <c r="O9" i="2"/>
  <c r="AL14" i="2"/>
  <c r="O18" i="2"/>
  <c r="G13" i="3"/>
  <c r="X13" i="3"/>
  <c r="AA8" i="3"/>
  <c r="X25" i="3"/>
  <c r="AF7" i="4"/>
  <c r="Q8" i="4"/>
  <c r="AL9" i="4"/>
  <c r="T53" i="4"/>
  <c r="AG25" i="4"/>
  <c r="AI25" i="4"/>
  <c r="AH39" i="4"/>
  <c r="N51" i="4"/>
  <c r="Z60" i="4"/>
  <c r="AE67" i="8"/>
  <c r="AD67" i="8"/>
  <c r="AH47" i="4"/>
  <c r="Z5" i="5"/>
  <c r="N33" i="6"/>
  <c r="G5" i="1"/>
  <c r="W11" i="2"/>
  <c r="T12" i="2"/>
  <c r="AG16" i="2"/>
  <c r="W17" i="2"/>
  <c r="AG17" i="2"/>
  <c r="H13" i="3"/>
  <c r="AA21" i="3"/>
  <c r="AG6" i="4"/>
  <c r="AH6" i="4"/>
  <c r="AB7" i="4"/>
  <c r="AG9" i="4"/>
  <c r="N5" i="3"/>
  <c r="H49" i="4"/>
  <c r="J53" i="4"/>
  <c r="AL27" i="4"/>
  <c r="AE29" i="4"/>
  <c r="AI30" i="4"/>
  <c r="AK36" i="4"/>
  <c r="AI40" i="4"/>
  <c r="Z40" i="4"/>
  <c r="Z63" i="4"/>
  <c r="X32" i="4"/>
  <c r="AC34" i="5"/>
  <c r="AK27" i="5"/>
  <c r="AG5" i="6"/>
  <c r="T7" i="4"/>
  <c r="W26" i="4"/>
  <c r="W30" i="4"/>
  <c r="AI49" i="4"/>
  <c r="Z49" i="4"/>
  <c r="AJ11" i="2"/>
  <c r="N18" i="2"/>
  <c r="AI17" i="2"/>
  <c r="I13" i="3"/>
  <c r="C25" i="3"/>
  <c r="R24" i="3"/>
  <c r="AA17" i="3"/>
  <c r="K7" i="4"/>
  <c r="AH5" i="4"/>
  <c r="AL15" i="4"/>
  <c r="AB48" i="4"/>
  <c r="T25" i="4"/>
  <c r="AG26" i="4"/>
  <c r="AI26" i="4"/>
  <c r="AL46" i="4"/>
  <c r="Q63" i="4"/>
  <c r="O32" i="4"/>
  <c r="AJ10" i="5"/>
  <c r="Z33" i="5"/>
  <c r="Z27" i="5"/>
  <c r="W35" i="5"/>
  <c r="P12" i="3"/>
  <c r="AI6" i="4"/>
  <c r="G7" i="4"/>
  <c r="O7" i="4"/>
  <c r="AA7" i="4"/>
  <c r="S9" i="4"/>
  <c r="AI9" i="4"/>
  <c r="AI14" i="4"/>
  <c r="AI15" i="4"/>
  <c r="AI16" i="4"/>
  <c r="AI17" i="4"/>
  <c r="AI18" i="4"/>
  <c r="AL36" i="4"/>
  <c r="AL38" i="4" s="1"/>
  <c r="Q37" i="4"/>
  <c r="AG37" i="4"/>
  <c r="L38" i="4"/>
  <c r="T39" i="4"/>
  <c r="AJ39" i="4"/>
  <c r="W40" i="4"/>
  <c r="O51" i="4"/>
  <c r="AH5" i="5"/>
  <c r="AJ7" i="5"/>
  <c r="Z10" i="5"/>
  <c r="AK14" i="5"/>
  <c r="Q15" i="5"/>
  <c r="AH22" i="5"/>
  <c r="AG24" i="5"/>
  <c r="G25" i="5"/>
  <c r="O25" i="5"/>
  <c r="AI24" i="5"/>
  <c r="Q24" i="5"/>
  <c r="I34" i="5"/>
  <c r="I31" i="6"/>
  <c r="R31" i="6"/>
  <c r="T14" i="6"/>
  <c r="T22" i="6"/>
  <c r="AH28" i="4"/>
  <c r="R51" i="4"/>
  <c r="O53" i="4"/>
  <c r="M8" i="5"/>
  <c r="AI9" i="5"/>
  <c r="AI10" i="5"/>
  <c r="AG13" i="5"/>
  <c r="Q13" i="5"/>
  <c r="AI13" i="5"/>
  <c r="L33" i="5"/>
  <c r="N35" i="5"/>
  <c r="AB35" i="5"/>
  <c r="W31" i="5"/>
  <c r="K31" i="6"/>
  <c r="Q24" i="3"/>
  <c r="V9" i="4"/>
  <c r="T14" i="4"/>
  <c r="T15" i="4"/>
  <c r="T16" i="4"/>
  <c r="T17" i="4"/>
  <c r="T18" i="4"/>
  <c r="Z21" i="4"/>
  <c r="W22" i="4"/>
  <c r="AH27" i="4"/>
  <c r="Q31" i="4"/>
  <c r="G38" i="4"/>
  <c r="O38" i="4"/>
  <c r="AA38" i="4"/>
  <c r="AH40" i="4"/>
  <c r="AH45" i="4"/>
  <c r="AH46" i="4"/>
  <c r="R48" i="4"/>
  <c r="Q49" i="4"/>
  <c r="Z51" i="4"/>
  <c r="R52" i="4"/>
  <c r="Q58" i="4"/>
  <c r="G59" i="4"/>
  <c r="H60" i="4" s="1"/>
  <c r="Z61" i="4"/>
  <c r="AH61" i="4"/>
  <c r="Z62" i="4"/>
  <c r="AH62" i="4"/>
  <c r="AA63" i="4"/>
  <c r="R34" i="5"/>
  <c r="T17" i="5"/>
  <c r="AG26" i="5"/>
  <c r="AB8" i="6"/>
  <c r="J35" i="6"/>
  <c r="Z25" i="7"/>
  <c r="AJ8" i="4"/>
  <c r="AI27" i="4"/>
  <c r="H63" i="4"/>
  <c r="AI45" i="4"/>
  <c r="AI46" i="4"/>
  <c r="AI47" i="4"/>
  <c r="AL47" i="4"/>
  <c r="R49" i="4"/>
  <c r="Z52" i="4"/>
  <c r="J60" i="4"/>
  <c r="AK61" i="4"/>
  <c r="AK62" i="4"/>
  <c r="AH14" i="5"/>
  <c r="N31" i="5"/>
  <c r="U34" i="5"/>
  <c r="W17" i="5"/>
  <c r="AK26" i="5"/>
  <c r="AK31" i="5"/>
  <c r="Z33" i="7"/>
  <c r="AK34" i="7"/>
  <c r="W35" i="7"/>
  <c r="AI5" i="4"/>
  <c r="W18" i="4"/>
  <c r="Z22" i="4"/>
  <c r="I63" i="4"/>
  <c r="AH36" i="4"/>
  <c r="Q47" i="4"/>
  <c r="Z53" i="4"/>
  <c r="AI59" i="4"/>
  <c r="AB63" i="4"/>
  <c r="W7" i="5"/>
  <c r="S10" i="5"/>
  <c r="T22" i="5"/>
  <c r="AI22" i="5"/>
  <c r="AG6" i="6"/>
  <c r="W8" i="6"/>
  <c r="AD8" i="6"/>
  <c r="Q61" i="4"/>
  <c r="Q62" i="4"/>
  <c r="M63" i="4"/>
  <c r="AK6" i="5"/>
  <c r="N8" i="5"/>
  <c r="AH7" i="5"/>
  <c r="Z7" i="5"/>
  <c r="X8" i="5"/>
  <c r="AH9" i="5"/>
  <c r="Z13" i="5"/>
  <c r="H31" i="5"/>
  <c r="W25" i="5"/>
  <c r="AH25" i="5"/>
  <c r="Q26" i="5"/>
  <c r="AL23" i="6"/>
  <c r="AI23" i="5"/>
  <c r="Z26" i="5"/>
  <c r="AH26" i="5"/>
  <c r="AG27" i="5"/>
  <c r="AG30" i="5"/>
  <c r="J31" i="5"/>
  <c r="Z32" i="5"/>
  <c r="J34" i="5"/>
  <c r="T35" i="5"/>
  <c r="AF7" i="6"/>
  <c r="D8" i="6"/>
  <c r="L8" i="6"/>
  <c r="T8" i="6"/>
  <c r="W14" i="6"/>
  <c r="U25" i="6"/>
  <c r="W22" i="6"/>
  <c r="AL30" i="6"/>
  <c r="Z33" i="6"/>
  <c r="AL24" i="8"/>
  <c r="AH22" i="6"/>
  <c r="Q23" i="6"/>
  <c r="AA25" i="6"/>
  <c r="AL24" i="6"/>
  <c r="AL25" i="6" s="1"/>
  <c r="M35" i="7"/>
  <c r="Z18" i="7"/>
  <c r="X35" i="7"/>
  <c r="AJ26" i="7"/>
  <c r="Y27" i="7"/>
  <c r="Z27" i="7" s="1"/>
  <c r="Z26" i="7"/>
  <c r="AL26" i="5"/>
  <c r="Q27" i="5"/>
  <c r="AA31" i="5"/>
  <c r="AB33" i="5"/>
  <c r="AK13" i="6"/>
  <c r="T33" i="6"/>
  <c r="I25" i="6"/>
  <c r="V27" i="6"/>
  <c r="W26" i="6"/>
  <c r="U31" i="6"/>
  <c r="AJ10" i="7"/>
  <c r="Z32" i="7"/>
  <c r="AG15" i="8"/>
  <c r="Q15" i="8"/>
  <c r="AI15" i="8"/>
  <c r="AI56" i="4"/>
  <c r="AI57" i="4"/>
  <c r="Q59" i="4"/>
  <c r="Q6" i="5"/>
  <c r="T14" i="5"/>
  <c r="Q16" i="5"/>
  <c r="T18" i="5"/>
  <c r="I25" i="5"/>
  <c r="T30" i="5"/>
  <c r="Q32" i="5"/>
  <c r="M33" i="5"/>
  <c r="AG7" i="6"/>
  <c r="AH7" i="6"/>
  <c r="AF10" i="6"/>
  <c r="Z13" i="6"/>
  <c r="Z15" i="6"/>
  <c r="W33" i="6"/>
  <c r="G34" i="6"/>
  <c r="O34" i="6"/>
  <c r="Q17" i="6"/>
  <c r="AC34" i="6"/>
  <c r="R25" i="6"/>
  <c r="AJ26" i="6"/>
  <c r="AH31" i="6"/>
  <c r="Z34" i="6"/>
  <c r="AA8" i="5"/>
  <c r="AL22" i="5"/>
  <c r="AL25" i="5" s="1"/>
  <c r="AG23" i="5"/>
  <c r="R25" i="5"/>
  <c r="Z24" i="5"/>
  <c r="AJ24" i="5"/>
  <c r="T26" i="5"/>
  <c r="W30" i="5"/>
  <c r="AL5" i="6"/>
  <c r="AI9" i="6"/>
  <c r="Q9" i="6"/>
  <c r="AJ10" i="6"/>
  <c r="AK10" i="6" s="1"/>
  <c r="AL13" i="6"/>
  <c r="R34" i="6"/>
  <c r="T17" i="6"/>
  <c r="AG23" i="6"/>
  <c r="AF24" i="6"/>
  <c r="C25" i="6"/>
  <c r="K25" i="6"/>
  <c r="AH24" i="6"/>
  <c r="AF27" i="6"/>
  <c r="AH27" i="6"/>
  <c r="AB8" i="7"/>
  <c r="U63" i="4"/>
  <c r="T7" i="5"/>
  <c r="Q9" i="5"/>
  <c r="AG14" i="5"/>
  <c r="T16" i="5"/>
  <c r="AI30" i="5"/>
  <c r="AL6" i="6"/>
  <c r="AC31" i="6"/>
  <c r="H35" i="6"/>
  <c r="AG22" i="6"/>
  <c r="AI22" i="6"/>
  <c r="AI23" i="6"/>
  <c r="G31" i="7"/>
  <c r="O31" i="7"/>
  <c r="Q14" i="7"/>
  <c r="AC7" i="8"/>
  <c r="Z15" i="5"/>
  <c r="T23" i="5"/>
  <c r="L25" i="5"/>
  <c r="H25" i="5"/>
  <c r="V27" i="5"/>
  <c r="AH27" i="5"/>
  <c r="T33" i="5"/>
  <c r="J8" i="6"/>
  <c r="AL7" i="6"/>
  <c r="AL8" i="6" s="1"/>
  <c r="Q13" i="6"/>
  <c r="T35" i="6"/>
  <c r="AF23" i="6"/>
  <c r="Z23" i="6"/>
  <c r="AG24" i="6"/>
  <c r="AK6" i="7"/>
  <c r="AF7" i="7"/>
  <c r="C8" i="7"/>
  <c r="AH7" i="7"/>
  <c r="K8" i="7"/>
  <c r="AH13" i="7"/>
  <c r="AI6" i="6"/>
  <c r="AI7" i="6"/>
  <c r="AL9" i="6"/>
  <c r="AH13" i="6"/>
  <c r="AG31" i="6"/>
  <c r="AH23" i="6"/>
  <c r="Z24" i="6"/>
  <c r="AC25" i="6"/>
  <c r="T27" i="6"/>
  <c r="AG30" i="6"/>
  <c r="Q31" i="6"/>
  <c r="U8" i="7"/>
  <c r="AI9" i="7"/>
  <c r="Q9" i="7"/>
  <c r="AF10" i="7"/>
  <c r="AH10" i="7"/>
  <c r="AL13" i="7"/>
  <c r="AF14" i="7"/>
  <c r="F31" i="7"/>
  <c r="AF31" i="7" s="1"/>
  <c r="N31" i="7"/>
  <c r="AF22" i="7"/>
  <c r="W25" i="7"/>
  <c r="AL24" i="7"/>
  <c r="AL25" i="7" s="1"/>
  <c r="AG5" i="8"/>
  <c r="H7" i="8"/>
  <c r="Q7" i="8"/>
  <c r="AJ24" i="6"/>
  <c r="AL6" i="7"/>
  <c r="D8" i="7"/>
  <c r="L8" i="7"/>
  <c r="W8" i="7"/>
  <c r="L34" i="7"/>
  <c r="AG23" i="7"/>
  <c r="AG25" i="7"/>
  <c r="W6" i="8"/>
  <c r="U7" i="8"/>
  <c r="AH5" i="6"/>
  <c r="T6" i="6"/>
  <c r="X8" i="6"/>
  <c r="P10" i="6"/>
  <c r="AG14" i="6"/>
  <c r="T16" i="6"/>
  <c r="W18" i="6"/>
  <c r="Z31" i="6"/>
  <c r="M33" i="6"/>
  <c r="AG6" i="7"/>
  <c r="AK7" i="7"/>
  <c r="AK24" i="7"/>
  <c r="AH30" i="7"/>
  <c r="Z30" i="7"/>
  <c r="M7" i="8"/>
  <c r="AI5" i="6"/>
  <c r="AH9" i="6"/>
  <c r="Q10" i="6"/>
  <c r="Z35" i="6"/>
  <c r="X25" i="6"/>
  <c r="AG26" i="6"/>
  <c r="AG27" i="6"/>
  <c r="AB31" i="6"/>
  <c r="W35" i="6"/>
  <c r="Z8" i="7"/>
  <c r="AF9" i="7"/>
  <c r="AI31" i="7"/>
  <c r="Z31" i="7"/>
  <c r="AK14" i="7"/>
  <c r="T33" i="7"/>
  <c r="AL23" i="7"/>
  <c r="AI27" i="7"/>
  <c r="T31" i="7"/>
  <c r="G8" i="6"/>
  <c r="AA8" i="6"/>
  <c r="AH10" i="6"/>
  <c r="W16" i="6"/>
  <c r="Z18" i="6"/>
  <c r="Z26" i="6"/>
  <c r="AH26" i="6"/>
  <c r="Q27" i="6"/>
  <c r="AI27" i="6"/>
  <c r="W5" i="7"/>
  <c r="AL7" i="7"/>
  <c r="AL8" i="7" s="1"/>
  <c r="W10" i="7"/>
  <c r="AK10" i="7"/>
  <c r="T35" i="7"/>
  <c r="AI30" i="7"/>
  <c r="Z34" i="7"/>
  <c r="Z27" i="6"/>
  <c r="AH5" i="7"/>
  <c r="Q8" i="7"/>
  <c r="AG13" i="7"/>
  <c r="W13" i="7"/>
  <c r="K33" i="7"/>
  <c r="U33" i="7"/>
  <c r="W16" i="7"/>
  <c r="T8" i="8"/>
  <c r="AI22" i="7"/>
  <c r="AA34" i="7"/>
  <c r="AD7" i="8"/>
  <c r="AH14" i="8"/>
  <c r="AH16" i="8"/>
  <c r="H46" i="8"/>
  <c r="T24" i="8"/>
  <c r="J53" i="8"/>
  <c r="T52" i="8"/>
  <c r="R26" i="8"/>
  <c r="AG5" i="7"/>
  <c r="Z17" i="7"/>
  <c r="Q22" i="7"/>
  <c r="W23" i="7"/>
  <c r="AF24" i="7"/>
  <c r="G25" i="7"/>
  <c r="O25" i="7"/>
  <c r="AA25" i="7"/>
  <c r="AI26" i="7"/>
  <c r="AH27" i="7"/>
  <c r="U31" i="7"/>
  <c r="Q33" i="7"/>
  <c r="AB33" i="7"/>
  <c r="M34" i="7"/>
  <c r="AB34" i="7"/>
  <c r="AB35" i="7"/>
  <c r="T5" i="8"/>
  <c r="AI6" i="8"/>
  <c r="O7" i="8"/>
  <c r="Q24" i="7"/>
  <c r="O34" i="7"/>
  <c r="AC34" i="7"/>
  <c r="N35" i="7"/>
  <c r="AC35" i="7"/>
  <c r="K7" i="8"/>
  <c r="U46" i="8"/>
  <c r="W20" i="8"/>
  <c r="AK26" i="8"/>
  <c r="AI5" i="7"/>
  <c r="AI8" i="7" s="1"/>
  <c r="AH9" i="7"/>
  <c r="Q10" i="7"/>
  <c r="T14" i="7"/>
  <c r="Z15" i="7"/>
  <c r="T22" i="7"/>
  <c r="T25" i="7" s="1"/>
  <c r="AH23" i="7"/>
  <c r="AH24" i="7"/>
  <c r="R25" i="7"/>
  <c r="AC25" i="7"/>
  <c r="AG31" i="7"/>
  <c r="Q35" i="7"/>
  <c r="AH6" i="8"/>
  <c r="Z7" i="8"/>
  <c r="Q9" i="8"/>
  <c r="Z15" i="8"/>
  <c r="W32" i="8"/>
  <c r="AK49" i="8"/>
  <c r="U25" i="8"/>
  <c r="W51" i="8"/>
  <c r="AI13" i="7"/>
  <c r="AI23" i="7"/>
  <c r="R34" i="7"/>
  <c r="C7" i="8"/>
  <c r="AB7" i="8"/>
  <c r="AL15" i="8"/>
  <c r="M43" i="8"/>
  <c r="AB43" i="8"/>
  <c r="W19" i="8"/>
  <c r="U45" i="8"/>
  <c r="W44" i="8"/>
  <c r="T46" i="8"/>
  <c r="T9" i="7"/>
  <c r="U25" i="7"/>
  <c r="L33" i="7"/>
  <c r="AL5" i="8"/>
  <c r="AF6" i="8"/>
  <c r="AG8" i="8"/>
  <c r="Q8" i="8"/>
  <c r="AI8" i="8"/>
  <c r="T14" i="8"/>
  <c r="T16" i="8"/>
  <c r="AH30" i="6"/>
  <c r="AH6" i="7"/>
  <c r="AG14" i="7"/>
  <c r="W34" i="7"/>
  <c r="AI5" i="8"/>
  <c r="AL6" i="8"/>
  <c r="W14" i="8"/>
  <c r="W16" i="8"/>
  <c r="K45" i="8"/>
  <c r="AH23" i="8"/>
  <c r="E27" i="8"/>
  <c r="J33" i="8"/>
  <c r="AG31" i="8"/>
  <c r="W31" i="8"/>
  <c r="AA7" i="8"/>
  <c r="Z9" i="8"/>
  <c r="AH15" i="8"/>
  <c r="F43" i="8"/>
  <c r="AF43" i="8" s="1"/>
  <c r="AF17" i="8"/>
  <c r="I46" i="8"/>
  <c r="T20" i="8"/>
  <c r="Q25" i="8"/>
  <c r="AF31" i="8"/>
  <c r="AH31" i="8"/>
  <c r="C33" i="8"/>
  <c r="K33" i="8"/>
  <c r="AD33" i="8"/>
  <c r="Z33" i="8"/>
  <c r="Q46" i="8"/>
  <c r="AH49" i="8"/>
  <c r="AE53" i="8"/>
  <c r="AE25" i="8"/>
  <c r="AL34" i="10"/>
  <c r="AA45" i="8"/>
  <c r="X46" i="8"/>
  <c r="Z20" i="8"/>
  <c r="AL33" i="8"/>
  <c r="AG34" i="8"/>
  <c r="Z41" i="8"/>
  <c r="I43" i="8"/>
  <c r="AG17" i="8"/>
  <c r="AI23" i="8"/>
  <c r="AH24" i="8"/>
  <c r="Z25" i="8"/>
  <c r="AG40" i="8"/>
  <c r="AK38" i="9"/>
  <c r="Z42" i="9"/>
  <c r="AG43" i="8"/>
  <c r="U43" i="8"/>
  <c r="W17" i="8"/>
  <c r="AC45" i="8"/>
  <c r="M46" i="8"/>
  <c r="AG32" i="8"/>
  <c r="G33" i="8"/>
  <c r="AI32" i="8"/>
  <c r="Q32" i="8"/>
  <c r="O33" i="8"/>
  <c r="T40" i="8"/>
  <c r="AK40" i="8"/>
  <c r="AH42" i="8"/>
  <c r="Z42" i="8"/>
  <c r="AI14" i="8"/>
  <c r="AI16" i="8"/>
  <c r="K43" i="8"/>
  <c r="AI17" i="8"/>
  <c r="Z17" i="8"/>
  <c r="X43" i="8"/>
  <c r="G45" i="8"/>
  <c r="Q19" i="8"/>
  <c r="AC46" i="8"/>
  <c r="AJ32" i="8"/>
  <c r="W35" i="8"/>
  <c r="Q43" i="8"/>
  <c r="T32" i="9"/>
  <c r="R45" i="8"/>
  <c r="T19" i="8"/>
  <c r="AG24" i="8"/>
  <c r="I33" i="8"/>
  <c r="T33" i="8"/>
  <c r="AI35" i="8"/>
  <c r="Z35" i="8"/>
  <c r="T44" i="8"/>
  <c r="AH25" i="8"/>
  <c r="AF32" i="8"/>
  <c r="AA33" i="8"/>
  <c r="AI34" i="8"/>
  <c r="AH35" i="8"/>
  <c r="AH41" i="8"/>
  <c r="K53" i="8"/>
  <c r="AH51" i="8"/>
  <c r="T6" i="9"/>
  <c r="AH38" i="9"/>
  <c r="AI41" i="8"/>
  <c r="X45" i="8"/>
  <c r="L53" i="8"/>
  <c r="X53" i="8"/>
  <c r="C7" i="9"/>
  <c r="AF6" i="9"/>
  <c r="K7" i="9"/>
  <c r="AH6" i="9"/>
  <c r="AJ9" i="9"/>
  <c r="AD40" i="9"/>
  <c r="AL40" i="9" s="1"/>
  <c r="AL17" i="9"/>
  <c r="AH23" i="9"/>
  <c r="AH32" i="8"/>
  <c r="R33" i="8"/>
  <c r="AC33" i="8"/>
  <c r="Q41" i="8"/>
  <c r="AA43" i="8"/>
  <c r="AC53" i="8"/>
  <c r="Q53" i="8"/>
  <c r="AH5" i="9"/>
  <c r="U7" i="9"/>
  <c r="AI5" i="9"/>
  <c r="D7" i="9"/>
  <c r="L7" i="9"/>
  <c r="X30" i="9"/>
  <c r="Z29" i="9"/>
  <c r="AG14" i="10"/>
  <c r="AI31" i="8"/>
  <c r="AL41" i="8"/>
  <c r="AI42" i="8"/>
  <c r="AF49" i="8"/>
  <c r="T50" i="8"/>
  <c r="V9" i="9"/>
  <c r="W8" i="9"/>
  <c r="Z18" i="9"/>
  <c r="AH17" i="8"/>
  <c r="AI24" i="8"/>
  <c r="U33" i="8"/>
  <c r="AH40" i="8"/>
  <c r="T41" i="8"/>
  <c r="L43" i="8"/>
  <c r="AI15" i="9"/>
  <c r="AJ32" i="9"/>
  <c r="AH40" i="9"/>
  <c r="Z8" i="10"/>
  <c r="Z49" i="8"/>
  <c r="AL50" i="8"/>
  <c r="I53" i="8"/>
  <c r="R53" i="8"/>
  <c r="AL9" i="9"/>
  <c r="Z15" i="9"/>
  <c r="Q40" i="9"/>
  <c r="W42" i="9"/>
  <c r="AG51" i="8"/>
  <c r="AB53" i="8"/>
  <c r="E7" i="9"/>
  <c r="M7" i="9"/>
  <c r="T9" i="9"/>
  <c r="AL15" i="9"/>
  <c r="W16" i="9"/>
  <c r="U43" i="9"/>
  <c r="W20" i="9"/>
  <c r="N30" i="9"/>
  <c r="AG30" i="9"/>
  <c r="AL45" i="9"/>
  <c r="AL5" i="9"/>
  <c r="AL7" i="9" s="1"/>
  <c r="W7" i="9"/>
  <c r="AI7" i="9"/>
  <c r="AI8" i="9"/>
  <c r="AF16" i="9"/>
  <c r="AH16" i="9"/>
  <c r="R40" i="9"/>
  <c r="T17" i="9"/>
  <c r="K43" i="9"/>
  <c r="AI29" i="9"/>
  <c r="AH29" i="9"/>
  <c r="AH32" i="9"/>
  <c r="AL39" i="9"/>
  <c r="AI51" i="8"/>
  <c r="X7" i="9"/>
  <c r="Z6" i="9"/>
  <c r="AG6" i="9"/>
  <c r="AF9" i="9"/>
  <c r="W9" i="9"/>
  <c r="H30" i="9"/>
  <c r="AJ29" i="9"/>
  <c r="Q29" i="9"/>
  <c r="AI32" i="9"/>
  <c r="AL5" i="10"/>
  <c r="AH50" i="8"/>
  <c r="AJ6" i="9"/>
  <c r="AL8" i="9"/>
  <c r="AG14" i="9"/>
  <c r="Q15" i="9"/>
  <c r="AG5" i="10"/>
  <c r="G7" i="10"/>
  <c r="Q5" i="10"/>
  <c r="AI5" i="10"/>
  <c r="Z6" i="10"/>
  <c r="X7" i="10"/>
  <c r="AI50" i="8"/>
  <c r="Z52" i="8"/>
  <c r="Q6" i="9"/>
  <c r="W14" i="9"/>
  <c r="AL14" i="9"/>
  <c r="AA40" i="9"/>
  <c r="AF28" i="9"/>
  <c r="AF30" i="9" s="1"/>
  <c r="E30" i="9"/>
  <c r="M30" i="9"/>
  <c r="Y32" i="9"/>
  <c r="Z31" i="9"/>
  <c r="T5" i="10"/>
  <c r="N7" i="10"/>
  <c r="U45" i="10"/>
  <c r="W19" i="10"/>
  <c r="AA7" i="9"/>
  <c r="AF8" i="9"/>
  <c r="AI9" i="9"/>
  <c r="AF14" i="9"/>
  <c r="AH14" i="9"/>
  <c r="AG15" i="9"/>
  <c r="W18" i="9"/>
  <c r="AF24" i="9"/>
  <c r="AL31" i="9"/>
  <c r="AG37" i="9"/>
  <c r="M42" i="9"/>
  <c r="T46" i="9"/>
  <c r="AL6" i="10"/>
  <c r="AC7" i="9"/>
  <c r="N42" i="9"/>
  <c r="AA43" i="9"/>
  <c r="AI23" i="9"/>
  <c r="AL24" i="9"/>
  <c r="AF31" i="9"/>
  <c r="AH31" i="9"/>
  <c r="AH37" i="9"/>
  <c r="AL38" i="9"/>
  <c r="AG39" i="9"/>
  <c r="O43" i="9"/>
  <c r="Z46" i="9"/>
  <c r="AJ6" i="10"/>
  <c r="R46" i="10"/>
  <c r="AH49" i="10"/>
  <c r="G42" i="9"/>
  <c r="O42" i="9"/>
  <c r="T30" i="9"/>
  <c r="AG38" i="9"/>
  <c r="T7" i="10"/>
  <c r="AC7" i="10"/>
  <c r="T8" i="10"/>
  <c r="AI8" i="10"/>
  <c r="AL16" i="10"/>
  <c r="R43" i="10"/>
  <c r="I46" i="10"/>
  <c r="T20" i="10"/>
  <c r="AH33" i="10"/>
  <c r="J40" i="9"/>
  <c r="AG17" i="9"/>
  <c r="Q19" i="9"/>
  <c r="G43" i="9"/>
  <c r="AG23" i="9"/>
  <c r="Q38" i="9"/>
  <c r="Z43" i="9"/>
  <c r="AF45" i="9"/>
  <c r="Z45" i="9"/>
  <c r="AI9" i="10"/>
  <c r="W15" i="10"/>
  <c r="I43" i="10"/>
  <c r="T17" i="10"/>
  <c r="AH25" i="10"/>
  <c r="F52" i="10"/>
  <c r="AF26" i="10"/>
  <c r="N52" i="10"/>
  <c r="O53" i="10" s="1"/>
  <c r="AH26" i="10"/>
  <c r="AH31" i="10"/>
  <c r="AI14" i="9"/>
  <c r="AI16" i="9"/>
  <c r="K40" i="9"/>
  <c r="Q18" i="9"/>
  <c r="T42" i="9"/>
  <c r="H43" i="9"/>
  <c r="Q20" i="9"/>
  <c r="Q23" i="9"/>
  <c r="AD30" i="9"/>
  <c r="AH39" i="9"/>
  <c r="AH45" i="9"/>
  <c r="AG46" i="9"/>
  <c r="AI46" i="9"/>
  <c r="AG33" i="10"/>
  <c r="W17" i="9"/>
  <c r="T19" i="9"/>
  <c r="I43" i="9"/>
  <c r="AH24" i="9"/>
  <c r="W30" i="9"/>
  <c r="AI31" i="9"/>
  <c r="AI37" i="9"/>
  <c r="AL37" i="9"/>
  <c r="Q46" i="9"/>
  <c r="X40" i="9"/>
  <c r="Z41" i="9"/>
  <c r="AL46" i="9"/>
  <c r="AG6" i="10"/>
  <c r="AI6" i="10"/>
  <c r="Q6" i="10"/>
  <c r="AD43" i="10"/>
  <c r="AL43" i="10" s="1"/>
  <c r="AL17" i="10"/>
  <c r="AI31" i="10"/>
  <c r="AI33" i="10" s="1"/>
  <c r="Q31" i="10"/>
  <c r="F33" i="10"/>
  <c r="N33" i="10"/>
  <c r="AK50" i="10"/>
  <c r="AC27" i="10"/>
  <c r="AI28" i="9"/>
  <c r="J7" i="10"/>
  <c r="K7" i="10"/>
  <c r="AH6" i="10"/>
  <c r="U7" i="10"/>
  <c r="AD7" i="10"/>
  <c r="W44" i="10"/>
  <c r="U30" i="9"/>
  <c r="T41" i="9"/>
  <c r="AH5" i="10"/>
  <c r="W5" i="10"/>
  <c r="AE7" i="10"/>
  <c r="P9" i="10"/>
  <c r="AJ8" i="10"/>
  <c r="Y9" i="10"/>
  <c r="Q14" i="10"/>
  <c r="AI14" i="10"/>
  <c r="AI16" i="10"/>
  <c r="H45" i="10"/>
  <c r="W24" i="10"/>
  <c r="Q43" i="10"/>
  <c r="W45" i="9"/>
  <c r="AF46" i="9"/>
  <c r="W6" i="10"/>
  <c r="AF6" i="10"/>
  <c r="O7" i="10"/>
  <c r="Q8" i="10"/>
  <c r="T15" i="10"/>
  <c r="Z16" i="10"/>
  <c r="I45" i="10"/>
  <c r="R45" i="10"/>
  <c r="T19" i="10"/>
  <c r="AH24" i="10"/>
  <c r="AL31" i="10"/>
  <c r="AL33" i="10" s="1"/>
  <c r="AI45" i="9"/>
  <c r="AB7" i="10"/>
  <c r="AF14" i="10"/>
  <c r="AH14" i="10"/>
  <c r="AF15" i="10"/>
  <c r="AH15" i="10"/>
  <c r="AG43" i="10"/>
  <c r="U43" i="10"/>
  <c r="W17" i="10"/>
  <c r="J46" i="10"/>
  <c r="U46" i="10"/>
  <c r="W20" i="10"/>
  <c r="AG25" i="10"/>
  <c r="R33" i="10"/>
  <c r="AA33" i="10"/>
  <c r="AF34" i="10"/>
  <c r="T35" i="10"/>
  <c r="AC43" i="10"/>
  <c r="O45" i="10"/>
  <c r="R7" i="10"/>
  <c r="T9" i="10"/>
  <c r="AL15" i="10"/>
  <c r="K43" i="10"/>
  <c r="X43" i="10"/>
  <c r="AI17" i="10"/>
  <c r="Z17" i="10"/>
  <c r="Q18" i="10"/>
  <c r="K46" i="10"/>
  <c r="X46" i="10"/>
  <c r="Z20" i="10"/>
  <c r="AL24" i="10"/>
  <c r="J52" i="10"/>
  <c r="AG26" i="10"/>
  <c r="AJ32" i="10"/>
  <c r="AK32" i="10" s="1"/>
  <c r="AL14" i="10"/>
  <c r="Q16" i="10"/>
  <c r="AL23" i="10"/>
  <c r="AG24" i="10"/>
  <c r="D53" i="10"/>
  <c r="D27" i="10" s="1"/>
  <c r="C53" i="10"/>
  <c r="C27" i="10" s="1"/>
  <c r="C33" i="10"/>
  <c r="AF32" i="10"/>
  <c r="T32" i="10"/>
  <c r="W34" i="10"/>
  <c r="AI34" i="10"/>
  <c r="W42" i="10"/>
  <c r="AH46" i="9"/>
  <c r="W8" i="10"/>
  <c r="AF9" i="10"/>
  <c r="M43" i="10"/>
  <c r="AC45" i="10"/>
  <c r="AG23" i="10"/>
  <c r="L52" i="10"/>
  <c r="AF31" i="10"/>
  <c r="L33" i="10"/>
  <c r="AD33" i="10"/>
  <c r="AL35" i="10"/>
  <c r="AG16" i="10"/>
  <c r="G45" i="10"/>
  <c r="AF25" i="10"/>
  <c r="AG41" i="10"/>
  <c r="Q41" i="10"/>
  <c r="AI41" i="10"/>
  <c r="AH34" i="10"/>
  <c r="AG35" i="10"/>
  <c r="T41" i="10"/>
  <c r="AF42" i="10"/>
  <c r="AH42" i="10"/>
  <c r="AF17" i="10"/>
  <c r="F53" i="10"/>
  <c r="F27" i="10" s="1"/>
  <c r="U33" i="10"/>
  <c r="AB33" i="10"/>
  <c r="AH17" i="10"/>
  <c r="AI24" i="10"/>
  <c r="H53" i="10"/>
  <c r="AE33" i="10"/>
  <c r="X45" i="10"/>
  <c r="AF49" i="10"/>
  <c r="AF50" i="10"/>
  <c r="AI15" i="10"/>
  <c r="I53" i="10"/>
  <c r="G33" i="10"/>
  <c r="AJ34" i="10"/>
  <c r="AF35" i="10"/>
  <c r="AH35" i="10"/>
  <c r="W35" i="10"/>
  <c r="W40" i="10"/>
  <c r="Q20" i="10"/>
  <c r="Q32" i="10"/>
  <c r="AG34" i="10"/>
  <c r="Y35" i="10"/>
  <c r="AF40" i="10"/>
  <c r="AH40" i="10"/>
  <c r="Q35" i="10"/>
  <c r="AL40" i="10"/>
  <c r="AL42" i="10"/>
  <c r="Q50" i="10"/>
  <c r="Z51" i="10"/>
  <c r="AH51" i="10"/>
  <c r="T52" i="10"/>
  <c r="N53" i="10"/>
  <c r="AH41" i="10"/>
  <c r="AG49" i="10"/>
  <c r="AL50" i="10"/>
  <c r="AI51" i="10"/>
  <c r="AA53" i="10"/>
  <c r="Q51" i="10"/>
  <c r="W52" i="10"/>
  <c r="X53" i="10" s="1"/>
  <c r="AI49" i="10"/>
  <c r="R53" i="10"/>
  <c r="U53" i="10"/>
  <c r="AI40" i="10"/>
  <c r="AI42" i="10"/>
  <c r="AH50" i="10"/>
  <c r="AA13" i="3" l="1"/>
  <c r="AL7" i="8"/>
  <c r="W33" i="8"/>
  <c r="Q34" i="7"/>
  <c r="AG8" i="7"/>
  <c r="AK27" i="6"/>
  <c r="AI8" i="6"/>
  <c r="AK7" i="6"/>
  <c r="AH8" i="7"/>
  <c r="AK23" i="6"/>
  <c r="AJ27" i="6"/>
  <c r="AH8" i="6"/>
  <c r="AK26" i="6"/>
  <c r="AK22" i="5"/>
  <c r="AK59" i="4"/>
  <c r="AK16" i="4"/>
  <c r="N13" i="3"/>
  <c r="Z5" i="3"/>
  <c r="AK25" i="4"/>
  <c r="AK5" i="5"/>
  <c r="AK16" i="2"/>
  <c r="AE27" i="10"/>
  <c r="AE25" i="10"/>
  <c r="AK49" i="10"/>
  <c r="AA27" i="10"/>
  <c r="AK41" i="10"/>
  <c r="M53" i="10"/>
  <c r="L23" i="3"/>
  <c r="L25" i="3" s="1"/>
  <c r="W46" i="10"/>
  <c r="Z40" i="9"/>
  <c r="AI40" i="9"/>
  <c r="AK37" i="9"/>
  <c r="AK46" i="9"/>
  <c r="T43" i="10"/>
  <c r="AK8" i="9"/>
  <c r="AK42" i="8"/>
  <c r="Z30" i="9"/>
  <c r="Z45" i="8"/>
  <c r="AK14" i="8"/>
  <c r="Z46" i="8"/>
  <c r="AE27" i="8"/>
  <c r="W46" i="8"/>
  <c r="T26" i="8"/>
  <c r="AK9" i="7"/>
  <c r="Z25" i="6"/>
  <c r="AK6" i="6"/>
  <c r="AK22" i="6"/>
  <c r="T8" i="5"/>
  <c r="T34" i="6"/>
  <c r="AG8" i="6"/>
  <c r="H29" i="4"/>
  <c r="AG31" i="5"/>
  <c r="M32" i="4"/>
  <c r="AK47" i="4"/>
  <c r="H32" i="4"/>
  <c r="AJ9" i="4"/>
  <c r="G60" i="4"/>
  <c r="AK9" i="5"/>
  <c r="AK15" i="4"/>
  <c r="AK11" i="2"/>
  <c r="Z32" i="4"/>
  <c r="AG18" i="2"/>
  <c r="G32" i="4"/>
  <c r="AH49" i="4"/>
  <c r="Y13" i="3"/>
  <c r="W7" i="4"/>
  <c r="AK42" i="10"/>
  <c r="N27" i="10"/>
  <c r="Q33" i="10"/>
  <c r="AF33" i="10"/>
  <c r="AF7" i="10"/>
  <c r="Q7" i="10"/>
  <c r="AK16" i="9"/>
  <c r="AH52" i="10"/>
  <c r="N23" i="3"/>
  <c r="N25" i="3" s="1"/>
  <c r="Q43" i="9"/>
  <c r="Z7" i="10"/>
  <c r="AK51" i="8"/>
  <c r="Z43" i="8"/>
  <c r="AI43" i="8"/>
  <c r="Q33" i="8"/>
  <c r="W45" i="8"/>
  <c r="AK23" i="7"/>
  <c r="W25" i="8"/>
  <c r="AI25" i="8"/>
  <c r="AK5" i="7"/>
  <c r="AK8" i="7" s="1"/>
  <c r="AK22" i="7"/>
  <c r="AG7" i="8"/>
  <c r="AK57" i="4"/>
  <c r="AF8" i="6"/>
  <c r="Z8" i="5"/>
  <c r="T10" i="5"/>
  <c r="W34" i="5"/>
  <c r="AK45" i="4"/>
  <c r="AK27" i="4"/>
  <c r="AA32" i="4"/>
  <c r="T25" i="6"/>
  <c r="AH7" i="4"/>
  <c r="AK48" i="4"/>
  <c r="Q8" i="5"/>
  <c r="AK9" i="2"/>
  <c r="T53" i="8"/>
  <c r="R27" i="8"/>
  <c r="T7" i="9"/>
  <c r="AK30" i="5"/>
  <c r="AK51" i="10"/>
  <c r="AI7" i="10"/>
  <c r="AK6" i="10"/>
  <c r="Q31" i="7"/>
  <c r="AH8" i="5"/>
  <c r="J29" i="4"/>
  <c r="T52" i="4"/>
  <c r="Q53" i="4"/>
  <c r="Q25" i="5"/>
  <c r="AG7" i="4"/>
  <c r="AK7" i="5"/>
  <c r="AI8" i="5"/>
  <c r="AG52" i="10"/>
  <c r="Z35" i="10"/>
  <c r="AJ9" i="10"/>
  <c r="AK33" i="10"/>
  <c r="AH7" i="9"/>
  <c r="AF8" i="7"/>
  <c r="AH25" i="6"/>
  <c r="AK46" i="4"/>
  <c r="AG25" i="5"/>
  <c r="W18" i="2"/>
  <c r="H27" i="10"/>
  <c r="AK16" i="10"/>
  <c r="AK14" i="9"/>
  <c r="W45" i="10"/>
  <c r="Z32" i="9"/>
  <c r="AK13" i="7"/>
  <c r="AK26" i="7"/>
  <c r="Z46" i="10"/>
  <c r="AK17" i="10"/>
  <c r="Q45" i="10"/>
  <c r="AK14" i="10"/>
  <c r="L53" i="10"/>
  <c r="AG7" i="10"/>
  <c r="G53" i="10"/>
  <c r="F23" i="3"/>
  <c r="F25" i="3" s="1"/>
  <c r="Q9" i="10"/>
  <c r="AK8" i="10"/>
  <c r="T46" i="10"/>
  <c r="AK23" i="9"/>
  <c r="AK5" i="10"/>
  <c r="AK32" i="9"/>
  <c r="W43" i="9"/>
  <c r="AB27" i="8"/>
  <c r="AC27" i="8"/>
  <c r="AH33" i="8"/>
  <c r="K27" i="8"/>
  <c r="AF33" i="8"/>
  <c r="T45" i="8"/>
  <c r="AK17" i="8"/>
  <c r="AK23" i="8"/>
  <c r="U53" i="8"/>
  <c r="AH25" i="7"/>
  <c r="Q25" i="7"/>
  <c r="W7" i="8"/>
  <c r="AF25" i="6"/>
  <c r="AK56" i="4"/>
  <c r="W27" i="5"/>
  <c r="T25" i="5"/>
  <c r="T51" i="4"/>
  <c r="AI25" i="5"/>
  <c r="AK24" i="5"/>
  <c r="AG38" i="4"/>
  <c r="AK18" i="4"/>
  <c r="T9" i="4"/>
  <c r="AK26" i="4"/>
  <c r="AK49" i="4"/>
  <c r="AK37" i="4"/>
  <c r="AI38" i="4"/>
  <c r="Z53" i="10"/>
  <c r="X27" i="10"/>
  <c r="Z9" i="10"/>
  <c r="AK31" i="10"/>
  <c r="Z7" i="9"/>
  <c r="L27" i="8"/>
  <c r="Q53" i="10"/>
  <c r="O27" i="10"/>
  <c r="I27" i="10"/>
  <c r="T33" i="10"/>
  <c r="K53" i="10"/>
  <c r="J23" i="3"/>
  <c r="J25" i="3" s="1"/>
  <c r="AK28" i="9"/>
  <c r="AK41" i="8"/>
  <c r="AK8" i="8"/>
  <c r="W31" i="7"/>
  <c r="W63" i="4"/>
  <c r="U32" i="4"/>
  <c r="AK13" i="5"/>
  <c r="AJ40" i="4"/>
  <c r="AK39" i="4"/>
  <c r="AK14" i="4"/>
  <c r="Z9" i="4"/>
  <c r="AK58" i="4"/>
  <c r="W7" i="10"/>
  <c r="AF7" i="9"/>
  <c r="AK32" i="8"/>
  <c r="AI33" i="8"/>
  <c r="W53" i="10"/>
  <c r="U27" i="10"/>
  <c r="AJ35" i="10"/>
  <c r="Z43" i="10"/>
  <c r="AI43" i="10"/>
  <c r="W43" i="10"/>
  <c r="AK45" i="9"/>
  <c r="Q7" i="9"/>
  <c r="AK24" i="8"/>
  <c r="AK31" i="8"/>
  <c r="AK5" i="9"/>
  <c r="Z53" i="8"/>
  <c r="X27" i="8"/>
  <c r="AK35" i="8"/>
  <c r="AG33" i="8"/>
  <c r="W43" i="8"/>
  <c r="AK5" i="8"/>
  <c r="AF7" i="8"/>
  <c r="AH7" i="8"/>
  <c r="AK30" i="7"/>
  <c r="AK31" i="7"/>
  <c r="AK5" i="6"/>
  <c r="AI25" i="7"/>
  <c r="AG25" i="6"/>
  <c r="W27" i="6"/>
  <c r="Z25" i="5"/>
  <c r="Q34" i="6"/>
  <c r="AK15" i="8"/>
  <c r="AJ27" i="7"/>
  <c r="W8" i="5"/>
  <c r="I32" i="4"/>
  <c r="AH31" i="5"/>
  <c r="AK24" i="6"/>
  <c r="Q51" i="4"/>
  <c r="Q38" i="4"/>
  <c r="Q32" i="4"/>
  <c r="AH38" i="4"/>
  <c r="T18" i="2"/>
  <c r="AK28" i="4"/>
  <c r="AB12" i="3"/>
  <c r="AB13" i="3" s="1"/>
  <c r="T38" i="4"/>
  <c r="W9" i="2"/>
  <c r="AK34" i="10"/>
  <c r="AK50" i="8"/>
  <c r="AK29" i="9"/>
  <c r="AI30" i="9"/>
  <c r="AK16" i="8"/>
  <c r="AH7" i="10"/>
  <c r="AK34" i="8"/>
  <c r="AI7" i="8"/>
  <c r="AK6" i="8"/>
  <c r="AF25" i="7"/>
  <c r="AH31" i="7"/>
  <c r="AI7" i="4"/>
  <c r="AK6" i="4"/>
  <c r="AA24" i="3"/>
  <c r="AK40" i="10"/>
  <c r="AK15" i="10"/>
  <c r="T45" i="10"/>
  <c r="AK31" i="9"/>
  <c r="AF52" i="10"/>
  <c r="T40" i="9"/>
  <c r="J53" i="10"/>
  <c r="AK24" i="10"/>
  <c r="T53" i="10"/>
  <c r="R27" i="10"/>
  <c r="Z45" i="10"/>
  <c r="AG40" i="9"/>
  <c r="Q42" i="9"/>
  <c r="AL7" i="10"/>
  <c r="AK9" i="9"/>
  <c r="AA53" i="8"/>
  <c r="AK6" i="9"/>
  <c r="Q30" i="9"/>
  <c r="AG7" i="9"/>
  <c r="AH30" i="9"/>
  <c r="AK15" i="9"/>
  <c r="T34" i="7"/>
  <c r="W33" i="7"/>
  <c r="T7" i="8"/>
  <c r="W25" i="6"/>
  <c r="AK9" i="6"/>
  <c r="W31" i="6"/>
  <c r="Z35" i="7"/>
  <c r="AK23" i="5"/>
  <c r="AB32" i="4"/>
  <c r="AK5" i="4"/>
  <c r="T49" i="4"/>
  <c r="T34" i="5"/>
  <c r="T48" i="4"/>
  <c r="AI25" i="6"/>
  <c r="AK10" i="5"/>
  <c r="T31" i="6"/>
  <c r="AK17" i="4"/>
  <c r="AK17" i="2"/>
  <c r="AI18" i="2"/>
  <c r="AK30" i="4"/>
  <c r="AD25" i="8"/>
  <c r="AL25" i="8" s="1"/>
  <c r="AD27" i="8"/>
  <c r="AK8" i="4"/>
  <c r="R63" i="4"/>
  <c r="Q18" i="2"/>
  <c r="AL25" i="10"/>
  <c r="W9" i="4"/>
  <c r="Q27" i="10" l="1"/>
  <c r="AK38" i="4"/>
  <c r="L27" i="10"/>
  <c r="AK43" i="8"/>
  <c r="T27" i="10"/>
  <c r="W27" i="10"/>
  <c r="Y25" i="3"/>
  <c r="Z25" i="3"/>
  <c r="M27" i="10"/>
  <c r="Z13" i="3"/>
  <c r="AK8" i="5"/>
  <c r="AK40" i="4"/>
  <c r="AK25" i="6"/>
  <c r="AK27" i="7"/>
  <c r="AK43" i="10"/>
  <c r="AK7" i="10"/>
  <c r="G29" i="4"/>
  <c r="AK25" i="7"/>
  <c r="AK40" i="9"/>
  <c r="Z27" i="10"/>
  <c r="T63" i="4"/>
  <c r="R32" i="4"/>
  <c r="AK7" i="8"/>
  <c r="AK25" i="5"/>
  <c r="AA27" i="8"/>
  <c r="J27" i="10"/>
  <c r="AK33" i="8"/>
  <c r="W32" i="4"/>
  <c r="W53" i="8"/>
  <c r="U27" i="8"/>
  <c r="AK9" i="4"/>
  <c r="T27" i="8"/>
  <c r="AK8" i="6"/>
  <c r="Z27" i="8"/>
  <c r="K27" i="10"/>
  <c r="AK18" i="2"/>
  <c r="AK7" i="9"/>
  <c r="AK7" i="4"/>
  <c r="G27" i="10"/>
  <c r="AK30" i="9"/>
  <c r="AK9" i="10"/>
  <c r="AK35" i="10"/>
  <c r="AK25" i="8"/>
  <c r="AA25" i="3"/>
  <c r="W27" i="8" l="1"/>
  <c r="T32" i="4"/>
</calcChain>
</file>

<file path=xl/sharedStrings.xml><?xml version="1.0" encoding="utf-8"?>
<sst xmlns="http://schemas.openxmlformats.org/spreadsheetml/2006/main" count="1892" uniqueCount="159">
  <si>
    <t>VEON</t>
  </si>
  <si>
    <t>Average and closing rates of functional currencies to USD</t>
  </si>
  <si>
    <t>Index sheet</t>
  </si>
  <si>
    <t>Average rates</t>
  </si>
  <si>
    <t>Closing rates</t>
  </si>
  <si>
    <t>Consolidated VEON</t>
  </si>
  <si>
    <t>1Q21</t>
  </si>
  <si>
    <t>1Q20</t>
  </si>
  <si>
    <t>YoY</t>
  </si>
  <si>
    <t>Russian Ruble</t>
  </si>
  <si>
    <t>RUB</t>
  </si>
  <si>
    <t>Customers</t>
  </si>
  <si>
    <t>Euro</t>
  </si>
  <si>
    <t>EUR</t>
  </si>
  <si>
    <t>Russia</t>
  </si>
  <si>
    <t>Algerian Dinar</t>
  </si>
  <si>
    <t>DZD</t>
  </si>
  <si>
    <t>Pakistan</t>
  </si>
  <si>
    <t>Pakistan Rupee</t>
  </si>
  <si>
    <t>PKR</t>
  </si>
  <si>
    <t>Algeria</t>
  </si>
  <si>
    <t>Bangladeshi Taka</t>
  </si>
  <si>
    <t>BDT</t>
  </si>
  <si>
    <t xml:space="preserve"> </t>
  </si>
  <si>
    <t>Bangladesh</t>
  </si>
  <si>
    <t>Ukrainian Hryvnia</t>
  </si>
  <si>
    <t>UAH</t>
  </si>
  <si>
    <t>Ukraine</t>
  </si>
  <si>
    <t>Kazakh Tenge</t>
  </si>
  <si>
    <t>KZT</t>
  </si>
  <si>
    <t>Uzbekistan</t>
  </si>
  <si>
    <t>Uzbekistan Som</t>
  </si>
  <si>
    <t>UZS</t>
  </si>
  <si>
    <t>Armenian Dram</t>
  </si>
  <si>
    <t>AMD</t>
  </si>
  <si>
    <t>Kyrgyz Som</t>
  </si>
  <si>
    <t>KGS</t>
  </si>
  <si>
    <t>Georgian Lari</t>
  </si>
  <si>
    <t>GEL</t>
  </si>
  <si>
    <t>index page</t>
  </si>
  <si>
    <r>
      <t xml:space="preserve">(in </t>
    </r>
    <r>
      <rPr>
        <b/>
        <sz val="9"/>
        <rFont val="Arial"/>
        <family val="2"/>
      </rPr>
      <t>USD</t>
    </r>
    <r>
      <rPr>
        <sz val="9"/>
        <rFont val="Arial"/>
        <family val="2"/>
      </rPr>
      <t xml:space="preserve"> millions, unless stated otherwise, unaudited)</t>
    </r>
  </si>
  <si>
    <t>Consolidated*</t>
  </si>
  <si>
    <t>1Q16 (pro-forma Warid)</t>
  </si>
  <si>
    <t>2Q16 (pro-forma Warid)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</si>
  <si>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</si>
  <si>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</si>
  <si>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</si>
  <si>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</si>
  <si>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</si>
  <si>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</si>
  <si>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</si>
  <si>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</si>
  <si>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</si>
  <si>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</si>
  <si>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</si>
  <si>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IFRS 16</t>
  </si>
  <si>
    <t>1Q19**</t>
  </si>
  <si>
    <t>2Q19</t>
  </si>
  <si>
    <t>2Q19**</t>
  </si>
  <si>
    <t>3Q19</t>
  </si>
  <si>
    <t>3Q19**</t>
  </si>
  <si>
    <t>4Q19</t>
  </si>
  <si>
    <t>4Q19**</t>
  </si>
  <si>
    <t>2Q20</t>
  </si>
  <si>
    <t>3Q20</t>
  </si>
  <si>
    <t>4Q20</t>
  </si>
  <si>
    <t>FY16
Pro-forma Warid</t>
  </si>
  <si>
    <t>FY17</t>
  </si>
  <si>
    <t>FY18</t>
  </si>
  <si>
    <t>FY19</t>
  </si>
  <si>
    <t>FY19**</t>
  </si>
  <si>
    <t>FY20</t>
  </si>
  <si>
    <t xml:space="preserve">Total operating revenue </t>
  </si>
  <si>
    <t>Service revenue</t>
  </si>
  <si>
    <t>EBITDA</t>
  </si>
  <si>
    <t>EBITDA margin (%)</t>
  </si>
  <si>
    <t>EBIT</t>
  </si>
  <si>
    <t>Profit/(Loss) before tax</t>
  </si>
  <si>
    <t>Net income/(loss) attributavle to VEON shareholders</t>
  </si>
  <si>
    <t>Operational Capex incl. Licenses</t>
  </si>
  <si>
    <r>
      <t>Operational Capex</t>
    </r>
    <r>
      <rPr>
        <vertAlign val="superscript"/>
        <sz val="9"/>
        <rFont val="Arial"/>
        <family val="2"/>
      </rPr>
      <t>1</t>
    </r>
  </si>
  <si>
    <t>Capital expenditures (CAPEX)</t>
  </si>
  <si>
    <t>CAPEX excluding licenses</t>
  </si>
  <si>
    <t>CAPEX excluding licenses / revenue</t>
  </si>
  <si>
    <r>
      <t>Equity Free Cash Flow</t>
    </r>
    <r>
      <rPr>
        <vertAlign val="superscript"/>
        <sz val="9"/>
        <rFont val="Arial"/>
        <family val="2"/>
      </rPr>
      <t>2</t>
    </r>
  </si>
  <si>
    <t>*Notes:</t>
  </si>
  <si>
    <t>2. Equity free cash flow - is a non-IFRS measure and is defined as free cash flow from operating activities less cash flow used in investing activities, after license payments and lease payments (principal amount); excluding balance movements in Pakistan banking, excluding M&amp;A transactions, inflow/outflow of deposits, financial assets and other one-off items. Reconciliation to the most directly comparable IFRS financial measure, is presented in the reconciliation tables section in the Earnings Release.</t>
  </si>
  <si>
    <r>
      <t>Note</t>
    </r>
    <r>
      <rPr>
        <sz val="6"/>
        <color theme="1"/>
        <rFont val="Arial"/>
        <family val="2"/>
      </rPr>
      <t xml:space="preserve">: </t>
    </r>
    <r>
      <rPr>
        <sz val="9"/>
        <color theme="1"/>
        <rFont val="Arial"/>
        <family val="2"/>
      </rPr>
      <t xml:space="preserve">prior year comparatives for capital expenditures are adjusted to reflect correct IFRS 16 impact of prior periods. </t>
    </r>
  </si>
  <si>
    <t>** includes IFRS 16 adj's</t>
  </si>
  <si>
    <r>
      <t>VEON</t>
    </r>
    <r>
      <rPr>
        <b/>
        <sz val="9"/>
        <color rgb="FFFF0000"/>
        <rFont val="Arial"/>
        <family val="2"/>
      </rPr>
      <t xml:space="preserve"> </t>
    </r>
  </si>
  <si>
    <t>(in millions)</t>
  </si>
  <si>
    <t>Mobile customers</t>
  </si>
  <si>
    <t>1Q16</t>
  </si>
  <si>
    <t>2Q16</t>
  </si>
  <si>
    <t>FY16</t>
  </si>
  <si>
    <t>Kazakhstan</t>
  </si>
  <si>
    <t>Other</t>
  </si>
  <si>
    <t xml:space="preserve">Total </t>
  </si>
  <si>
    <t>Fixed line customers</t>
  </si>
  <si>
    <t>CONSOLIDATED</t>
  </si>
  <si>
    <t xml:space="preserve">EBITDA margin (%) </t>
  </si>
  <si>
    <t>Capital expenditures (CAPEX) - Excl. lease liabilities</t>
  </si>
  <si>
    <t>MOBILE</t>
  </si>
  <si>
    <t>IFRS16</t>
  </si>
  <si>
    <t xml:space="preserve">Total operating revenues </t>
  </si>
  <si>
    <t>Service Revenue (Mobile)</t>
  </si>
  <si>
    <t>Data Revenue (Mobile)</t>
  </si>
  <si>
    <t>Customers (mln)</t>
  </si>
  <si>
    <t xml:space="preserve">Mobile data customers (mln) </t>
  </si>
  <si>
    <t xml:space="preserve">ARPU (USD) </t>
  </si>
  <si>
    <t>n.a.</t>
  </si>
  <si>
    <t>MOU, min</t>
  </si>
  <si>
    <t>Churn 3 months active base (quarterly), %</t>
  </si>
  <si>
    <t xml:space="preserve">MBOU </t>
  </si>
  <si>
    <t>FIXED-LINE</t>
  </si>
  <si>
    <t>Broadband revenue</t>
  </si>
  <si>
    <t>Broadband customers (mln)</t>
  </si>
  <si>
    <t>Broadband ARPU (USD)</t>
  </si>
  <si>
    <t xml:space="preserve">      FTTB revenue</t>
  </si>
  <si>
    <t xml:space="preserve">      FTTB customers (mln)</t>
  </si>
  <si>
    <t xml:space="preserve">      FTTB ARPU (USD)</t>
  </si>
  <si>
    <r>
      <t xml:space="preserve">(in </t>
    </r>
    <r>
      <rPr>
        <b/>
        <sz val="9"/>
        <rFont val="Arial"/>
        <family val="2"/>
      </rPr>
      <t>RUB</t>
    </r>
    <r>
      <rPr>
        <sz val="9"/>
        <rFont val="Arial"/>
        <family val="2"/>
      </rPr>
      <t xml:space="preserve"> millions, unless stated otherwise, unaudited)</t>
    </r>
  </si>
  <si>
    <t xml:space="preserve">EBITDA </t>
  </si>
  <si>
    <t>Data Revenue</t>
  </si>
  <si>
    <t xml:space="preserve">ARPU (RUB) </t>
  </si>
  <si>
    <t>MOU (min)</t>
  </si>
  <si>
    <t>Churn 3 months active base (quarterly) (%)</t>
  </si>
  <si>
    <t>MBOU</t>
  </si>
  <si>
    <t>Broadband ARPU (RUB)</t>
  </si>
  <si>
    <t xml:space="preserve">      FTTB ARPU (RUB)</t>
  </si>
  <si>
    <t>Additional KPI's</t>
  </si>
  <si>
    <t>4G network coverage</t>
  </si>
  <si>
    <t>4G mobile customer penetration (3 Months active)</t>
  </si>
  <si>
    <t>** include IFRS 16 adj's</t>
  </si>
  <si>
    <t>ARPU (USD)</t>
  </si>
  <si>
    <t xml:space="preserve">MOU (min) </t>
  </si>
  <si>
    <r>
      <t xml:space="preserve">(in </t>
    </r>
    <r>
      <rPr>
        <b/>
        <sz val="9"/>
        <rFont val="Arial"/>
        <family val="2"/>
      </rPr>
      <t>PKR</t>
    </r>
    <r>
      <rPr>
        <sz val="9"/>
        <rFont val="Arial"/>
        <family val="2"/>
      </rPr>
      <t xml:space="preserve"> billions, unless stated otherwise, unaudited)</t>
    </r>
  </si>
  <si>
    <t>ARPU (PKR)</t>
  </si>
  <si>
    <t>4G mobile customer penetration  (3 Months active)</t>
  </si>
  <si>
    <r>
      <t xml:space="preserve">(in </t>
    </r>
    <r>
      <rPr>
        <b/>
        <sz val="9"/>
        <rFont val="Arial"/>
        <family val="2"/>
      </rPr>
      <t>DZD</t>
    </r>
    <r>
      <rPr>
        <sz val="9"/>
        <rFont val="Arial"/>
        <family val="2"/>
      </rPr>
      <t xml:space="preserve"> billions, unless stated otherwise, unaudited)</t>
    </r>
  </si>
  <si>
    <t>ARPU (DZD)</t>
  </si>
  <si>
    <r>
      <t xml:space="preserve">(in </t>
    </r>
    <r>
      <rPr>
        <b/>
        <sz val="9"/>
        <rFont val="Arial"/>
        <family val="2"/>
      </rPr>
      <t>BDT</t>
    </r>
    <r>
      <rPr>
        <sz val="9"/>
        <rFont val="Arial"/>
        <family val="2"/>
      </rPr>
      <t xml:space="preserve"> billions, unless stated otherwise, unaudited)</t>
    </r>
  </si>
  <si>
    <t>ARPU (BDT)</t>
  </si>
  <si>
    <t>Total operating revenue</t>
  </si>
  <si>
    <t>n.a</t>
  </si>
  <si>
    <r>
      <t xml:space="preserve">(in </t>
    </r>
    <r>
      <rPr>
        <b/>
        <sz val="9"/>
        <rFont val="Arial"/>
        <family val="2"/>
      </rPr>
      <t>UAH</t>
    </r>
    <r>
      <rPr>
        <sz val="9"/>
        <rFont val="Arial"/>
        <family val="2"/>
      </rPr>
      <t xml:space="preserve"> millions, unless stated otherwise, unaudited)</t>
    </r>
  </si>
  <si>
    <t>ARPU (UAH)</t>
  </si>
  <si>
    <t xml:space="preserve">  Broadband ARPU (UAH)</t>
  </si>
  <si>
    <t>4G mobile customer penetration</t>
  </si>
  <si>
    <t xml:space="preserve">Churn 3 months active base (quarterly) (%) </t>
  </si>
  <si>
    <r>
      <t xml:space="preserve">(in </t>
    </r>
    <r>
      <rPr>
        <b/>
        <sz val="9"/>
        <rFont val="Arial"/>
        <family val="2"/>
      </rPr>
      <t>UZS</t>
    </r>
    <r>
      <rPr>
        <sz val="9"/>
        <rFont val="Arial"/>
        <family val="2"/>
      </rPr>
      <t xml:space="preserve"> billions, unless stated otherwise, unaudited)</t>
    </r>
  </si>
  <si>
    <t>ARPU (UZS)</t>
  </si>
  <si>
    <t>(in KZT millions, unless stated otherwise, unaudited)</t>
  </si>
  <si>
    <t>ARPU (KZT)</t>
  </si>
  <si>
    <t xml:space="preserve">  Broadband ARPU (KZT)</t>
  </si>
  <si>
    <t>1. Operational Capex is defined as capex excluding license expenditures and capitalized leases.</t>
  </si>
  <si>
    <r>
      <t>Operational CAPEX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</si>
  <si>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Operational CAPEX is defined as capex excluding license expenditures and capitalized leases.</t>
    </r>
  </si>
  <si>
    <t>Operational Capex (excluding licenses) /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</si>
</sst>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%_);_(* \(#,##0.0%\);_(* &quot;-&quot;??_);_(@_)"/>
    <numFmt numFmtId="167" formatCode="_-* #,##0.00_р_._-;\-* #,##0.00_р_._-;_-* &quot;-&quot;??_р_._-;_-@_-"/>
    <numFmt numFmtId="168" formatCode="_-* #,##0_-;\-* #,##0_-;_-* &quot;-&quot;_-;_-@_-"/>
    <numFmt numFmtId="169" formatCode="_(* #,##0.0_);_(* \(#,##0.0\);_(* &quot;-&quot;_);_(@_)"/>
    <numFmt numFmtId="170" formatCode="_(* #,##0.0_);_(* \(#,##0.0\);_(* &quot;-&quot;??_);_(@_)"/>
    <numFmt numFmtId="171" formatCode="_(* #,##0.000_);_(* \(#,##0.000\);_(* &quot;-&quot;_);_(@_)"/>
    <numFmt numFmtId="172" formatCode="_ * #,##0.0_ ;_ * \-#,##0.0_ ;_ * &quot;-&quot;?_ ;_ @_ "/>
    <numFmt numFmtId="173" formatCode="_(* #,##0_);_(* \(#,##0\);_(* &quot;-&quot;??_);_(@_)"/>
    <numFmt numFmtId="174" formatCode="#,##0.0"/>
    <numFmt numFmtId="17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u/>
      <sz val="9"/>
      <color indexed="12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sz val="8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Verdana"/>
      <family val="2"/>
    </font>
    <font>
      <b/>
      <sz val="8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/>
      <top/>
      <bottom style="thick">
        <color rgb="FFF0BE32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/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rgb="FFFFC000"/>
      </bottom>
      <diagonal/>
    </border>
    <border>
      <left style="thin">
        <color rgb="FFF0BE32"/>
      </left>
      <right style="thin">
        <color rgb="FFF0BE32"/>
      </right>
      <top/>
      <bottom style="medium">
        <color rgb="FFF0BE32"/>
      </bottom>
      <diagonal/>
    </border>
    <border>
      <left/>
      <right/>
      <top/>
      <bottom style="medium">
        <color rgb="FFF0BE32"/>
      </bottom>
      <diagonal/>
    </border>
    <border>
      <left/>
      <right style="thin">
        <color indexed="64"/>
      </right>
      <top/>
      <bottom style="medium">
        <color rgb="FFF0BE32"/>
      </bottom>
      <diagonal/>
    </border>
    <border>
      <left/>
      <right/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 style="thick">
        <color rgb="FFF0BE32"/>
      </top>
      <bottom style="medium">
        <color auto="1"/>
      </bottom>
      <diagonal/>
    </border>
    <border>
      <left/>
      <right style="thin">
        <color indexed="64"/>
      </right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rgb="FFFFC000"/>
      </bottom>
      <diagonal/>
    </border>
    <border>
      <left style="thin">
        <color indexed="64"/>
      </left>
      <right/>
      <top/>
      <bottom style="thick">
        <color rgb="FFF0BE32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rgb="FFF0BE32"/>
      </top>
      <bottom/>
      <diagonal/>
    </border>
    <border>
      <left style="thin">
        <color indexed="64"/>
      </left>
      <right/>
      <top style="thick">
        <color rgb="FFF0BE32"/>
      </top>
      <bottom/>
      <diagonal/>
    </border>
    <border>
      <left/>
      <right style="thick">
        <color rgb="FFF0BE32"/>
      </right>
      <top style="thick">
        <color rgb="FFF0BE32"/>
      </top>
      <bottom style="medium">
        <color indexed="64"/>
      </bottom>
      <diagonal/>
    </border>
    <border>
      <left style="thick">
        <color rgb="FFF0BE32"/>
      </left>
      <right/>
      <top/>
      <bottom/>
      <diagonal/>
    </border>
    <border>
      <left/>
      <right style="thick">
        <color rgb="FFF0BE32"/>
      </right>
      <top/>
      <bottom style="thick">
        <color rgb="FFF0BE32"/>
      </bottom>
      <diagonal/>
    </border>
    <border>
      <left style="thin">
        <color indexed="64"/>
      </left>
      <right/>
      <top/>
      <bottom style="medium">
        <color rgb="FFFFC000"/>
      </bottom>
      <diagonal/>
    </border>
    <border>
      <left/>
      <right style="thin">
        <color indexed="64"/>
      </right>
      <top/>
      <bottom style="medium">
        <color rgb="FFFFC000"/>
      </bottom>
      <diagonal/>
    </border>
    <border>
      <left/>
      <right/>
      <top style="medium">
        <color indexed="64"/>
      </top>
      <bottom style="thick">
        <color rgb="FFFFC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/>
      <top style="medium">
        <color rgb="FFFFC000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354">
    <xf numFmtId="0" fontId="0" fillId="0" borderId="0" xfId="0"/>
    <xf numFmtId="0" fontId="3" fillId="2" borderId="0" xfId="4" applyFont="1" applyFill="1"/>
    <xf numFmtId="0" fontId="4" fillId="0" borderId="0" xfId="0" applyFont="1"/>
    <xf numFmtId="0" fontId="3" fillId="0" borderId="0" xfId="0" applyFont="1"/>
    <xf numFmtId="0" fontId="6" fillId="0" borderId="0" xfId="5" applyFont="1"/>
    <xf numFmtId="0" fontId="7" fillId="0" borderId="0" xfId="5" applyFont="1"/>
    <xf numFmtId="0" fontId="8" fillId="0" borderId="0" xfId="0" applyFont="1"/>
    <xf numFmtId="0" fontId="3" fillId="0" borderId="0" xfId="4" applyFont="1"/>
    <xf numFmtId="0" fontId="9" fillId="0" borderId="0" xfId="0" applyFont="1" applyAlignment="1">
      <alignment wrapText="1"/>
    </xf>
    <xf numFmtId="49" fontId="4" fillId="0" borderId="0" xfId="0" applyNumberFormat="1" applyFont="1" applyAlignment="1">
      <alignment vertical="top" readingOrder="1"/>
    </xf>
    <xf numFmtId="49" fontId="8" fillId="0" borderId="0" xfId="0" applyNumberFormat="1" applyFont="1" applyAlignment="1">
      <alignment vertical="center" readingOrder="1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49" fontId="7" fillId="0" borderId="0" xfId="5" applyNumberFormat="1" applyFont="1" applyAlignment="1">
      <alignment vertical="top" readingOrder="1"/>
    </xf>
    <xf numFmtId="49" fontId="8" fillId="0" borderId="0" xfId="0" applyNumberFormat="1" applyFont="1" applyAlignment="1">
      <alignment vertical="top" readingOrder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10" fillId="0" borderId="0" xfId="3" applyFill="1" applyBorder="1" applyAlignment="1" applyProtection="1"/>
    <xf numFmtId="0" fontId="6" fillId="2" borderId="0" xfId="0" applyFont="1" applyFill="1" applyAlignment="1">
      <alignment horizontal="left" vertical="center"/>
    </xf>
    <xf numFmtId="164" fontId="6" fillId="0" borderId="0" xfId="6" applyFont="1" applyFill="1" applyBorder="1" applyAlignment="1">
      <alignment horizontal="right" vertical="center"/>
    </xf>
    <xf numFmtId="165" fontId="6" fillId="0" borderId="0" xfId="7" applyNumberFormat="1" applyFont="1" applyFill="1" applyBorder="1" applyAlignment="1">
      <alignment horizontal="right" vertical="center"/>
    </xf>
    <xf numFmtId="166" fontId="6" fillId="0" borderId="0" xfId="7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 applyProtection="1"/>
    <xf numFmtId="164" fontId="6" fillId="0" borderId="2" xfId="6" applyFont="1" applyFill="1" applyBorder="1" applyAlignment="1">
      <alignment horizontal="right" vertical="center"/>
    </xf>
    <xf numFmtId="165" fontId="6" fillId="0" borderId="3" xfId="7" applyNumberFormat="1" applyFont="1" applyFill="1" applyBorder="1" applyAlignment="1">
      <alignment horizontal="right" vertical="center"/>
    </xf>
    <xf numFmtId="0" fontId="4" fillId="2" borderId="0" xfId="0" applyFont="1" applyFill="1"/>
    <xf numFmtId="0" fontId="4" fillId="0" borderId="4" xfId="0" applyFont="1" applyBorder="1"/>
    <xf numFmtId="0" fontId="8" fillId="2" borderId="0" xfId="0" applyFont="1" applyFill="1"/>
    <xf numFmtId="0" fontId="7" fillId="2" borderId="0" xfId="5" applyFont="1" applyFill="1"/>
    <xf numFmtId="0" fontId="12" fillId="2" borderId="0" xfId="4" applyFont="1" applyFill="1"/>
    <xf numFmtId="0" fontId="13" fillId="2" borderId="0" xfId="0" applyFont="1" applyFill="1"/>
    <xf numFmtId="0" fontId="0" fillId="2" borderId="0" xfId="0" applyFill="1"/>
    <xf numFmtId="41" fontId="8" fillId="2" borderId="0" xfId="0" applyNumberFormat="1" applyFont="1" applyFill="1"/>
    <xf numFmtId="0" fontId="14" fillId="2" borderId="0" xfId="3" applyFont="1" applyFill="1" applyBorder="1" applyAlignment="1" applyProtection="1"/>
    <xf numFmtId="41" fontId="8" fillId="0" borderId="0" xfId="0" applyNumberFormat="1" applyFont="1"/>
    <xf numFmtId="0" fontId="7" fillId="2" borderId="2" xfId="0" applyFont="1" applyFill="1" applyBorder="1" applyAlignment="1">
      <alignment horizontal="left"/>
    </xf>
    <xf numFmtId="41" fontId="15" fillId="0" borderId="2" xfId="0" applyNumberFormat="1" applyFont="1" applyBorder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12" fillId="2" borderId="8" xfId="4" applyFont="1" applyFill="1" applyBorder="1" applyAlignment="1">
      <alignment vertical="center"/>
    </xf>
    <xf numFmtId="41" fontId="12" fillId="0" borderId="0" xfId="8" applyNumberFormat="1" applyFont="1" applyFill="1" applyBorder="1" applyAlignment="1">
      <alignment horizontal="center" vertical="center" wrapText="1"/>
    </xf>
    <xf numFmtId="41" fontId="12" fillId="2" borderId="0" xfId="8" applyNumberFormat="1" applyFont="1" applyFill="1" applyBorder="1" applyAlignment="1">
      <alignment horizontal="center" vertical="center" wrapText="1"/>
    </xf>
    <xf numFmtId="41" fontId="12" fillId="2" borderId="0" xfId="8" applyNumberFormat="1" applyFont="1" applyFill="1" applyBorder="1" applyAlignment="1">
      <alignment horizontal="center" vertical="center"/>
    </xf>
    <xf numFmtId="41" fontId="12" fillId="2" borderId="9" xfId="8" applyNumberFormat="1" applyFont="1" applyFill="1" applyBorder="1" applyAlignment="1">
      <alignment horizontal="center" vertical="center"/>
    </xf>
    <xf numFmtId="41" fontId="12" fillId="0" borderId="0" xfId="8" applyNumberFormat="1" applyFont="1" applyFill="1" applyBorder="1" applyAlignment="1">
      <alignment horizontal="center" vertical="center"/>
    </xf>
    <xf numFmtId="41" fontId="12" fillId="2" borderId="8" xfId="8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5" fontId="12" fillId="0" borderId="0" xfId="7" applyNumberFormat="1" applyFont="1" applyFill="1" applyBorder="1" applyAlignment="1">
      <alignment horizontal="right" vertical="center"/>
    </xf>
    <xf numFmtId="165" fontId="12" fillId="2" borderId="0" xfId="7" applyNumberFormat="1" applyFont="1" applyFill="1" applyBorder="1" applyAlignment="1">
      <alignment horizontal="right" vertical="center"/>
    </xf>
    <xf numFmtId="165" fontId="12" fillId="2" borderId="8" xfId="7" applyNumberFormat="1" applyFont="1" applyFill="1" applyBorder="1" applyAlignment="1">
      <alignment horizontal="right" vertical="center"/>
    </xf>
    <xf numFmtId="0" fontId="7" fillId="2" borderId="8" xfId="4" applyFont="1" applyFill="1" applyBorder="1" applyAlignment="1">
      <alignment vertical="center"/>
    </xf>
    <xf numFmtId="41" fontId="7" fillId="0" borderId="0" xfId="4" applyNumberFormat="1" applyFont="1" applyAlignment="1">
      <alignment horizontal="center" vertical="center"/>
    </xf>
    <xf numFmtId="41" fontId="7" fillId="2" borderId="0" xfId="4" applyNumberFormat="1" applyFont="1" applyFill="1" applyAlignment="1">
      <alignment horizontal="center" vertical="center"/>
    </xf>
    <xf numFmtId="41" fontId="7" fillId="2" borderId="8" xfId="4" applyNumberFormat="1" applyFont="1" applyFill="1" applyBorder="1" applyAlignment="1">
      <alignment horizontal="center" vertical="center"/>
    </xf>
    <xf numFmtId="41" fontId="7" fillId="0" borderId="8" xfId="4" applyNumberFormat="1" applyFont="1" applyBorder="1" applyAlignment="1">
      <alignment horizontal="center" vertical="center"/>
    </xf>
    <xf numFmtId="165" fontId="7" fillId="0" borderId="0" xfId="8" applyNumberFormat="1" applyFont="1" applyFill="1" applyBorder="1" applyAlignment="1">
      <alignment horizontal="right" vertical="center" wrapText="1"/>
    </xf>
    <xf numFmtId="165" fontId="7" fillId="2" borderId="0" xfId="8" applyNumberFormat="1" applyFont="1" applyFill="1" applyBorder="1" applyAlignment="1">
      <alignment horizontal="right" vertical="center" wrapText="1"/>
    </xf>
    <xf numFmtId="165" fontId="7" fillId="2" borderId="0" xfId="8" applyNumberFormat="1" applyFont="1" applyFill="1" applyBorder="1" applyAlignment="1">
      <alignment horizontal="right" vertical="center"/>
    </xf>
    <xf numFmtId="165" fontId="7" fillId="2" borderId="8" xfId="8" applyNumberFormat="1" applyFont="1" applyFill="1" applyBorder="1" applyAlignment="1">
      <alignment horizontal="right" vertical="center"/>
    </xf>
    <xf numFmtId="165" fontId="7" fillId="0" borderId="0" xfId="8" applyNumberFormat="1" applyFont="1" applyFill="1" applyBorder="1" applyAlignment="1">
      <alignment horizontal="right" vertical="center"/>
    </xf>
    <xf numFmtId="0" fontId="7" fillId="2" borderId="11" xfId="4" applyFont="1" applyFill="1" applyBorder="1" applyAlignment="1">
      <alignment vertical="center"/>
    </xf>
    <xf numFmtId="165" fontId="7" fillId="0" borderId="12" xfId="8" applyNumberFormat="1" applyFont="1" applyFill="1" applyBorder="1" applyAlignment="1">
      <alignment horizontal="right" vertical="center" wrapText="1"/>
    </xf>
    <xf numFmtId="165" fontId="7" fillId="2" borderId="12" xfId="8" applyNumberFormat="1" applyFont="1" applyFill="1" applyBorder="1" applyAlignment="1">
      <alignment horizontal="right" vertical="center" wrapText="1"/>
    </xf>
    <xf numFmtId="165" fontId="7" fillId="2" borderId="12" xfId="8" applyNumberFormat="1" applyFont="1" applyFill="1" applyBorder="1" applyAlignment="1">
      <alignment horizontal="right" vertical="center"/>
    </xf>
    <xf numFmtId="41" fontId="7" fillId="0" borderId="12" xfId="4" applyNumberFormat="1" applyFont="1" applyBorder="1" applyAlignment="1">
      <alignment horizontal="center" vertical="center"/>
    </xf>
    <xf numFmtId="41" fontId="7" fillId="0" borderId="13" xfId="4" applyNumberFormat="1" applyFont="1" applyBorder="1" applyAlignment="1">
      <alignment horizontal="center" vertical="center"/>
    </xf>
    <xf numFmtId="0" fontId="18" fillId="2" borderId="0" xfId="4" applyFont="1" applyFill="1"/>
    <xf numFmtId="168" fontId="7" fillId="2" borderId="0" xfId="4" applyNumberFormat="1" applyFont="1" applyFill="1" applyAlignment="1">
      <alignment wrapText="1"/>
    </xf>
    <xf numFmtId="0" fontId="7" fillId="2" borderId="0" xfId="4" applyFont="1" applyFill="1" applyAlignment="1">
      <alignment wrapText="1"/>
    </xf>
    <xf numFmtId="0" fontId="8" fillId="0" borderId="0" xfId="0" applyFont="1" applyAlignment="1">
      <alignment wrapText="1"/>
    </xf>
    <xf numFmtId="0" fontId="7" fillId="0" borderId="0" xfId="4" applyFont="1" applyAlignment="1">
      <alignment vertical="top" wrapText="1"/>
    </xf>
    <xf numFmtId="0" fontId="19" fillId="2" borderId="0" xfId="4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7" fillId="2" borderId="0" xfId="4" applyFont="1" applyFill="1"/>
    <xf numFmtId="0" fontId="16" fillId="2" borderId="5" xfId="0" applyFont="1" applyFill="1" applyBorder="1" applyAlignment="1">
      <alignment horizontal="left" indent="1"/>
    </xf>
    <xf numFmtId="0" fontId="16" fillId="2" borderId="14" xfId="0" applyFont="1" applyFill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2" borderId="15" xfId="0" applyFont="1" applyFill="1" applyBorder="1" applyAlignment="1">
      <alignment horizontal="right"/>
    </xf>
    <xf numFmtId="0" fontId="16" fillId="2" borderId="16" xfId="0" applyFont="1" applyFill="1" applyBorder="1" applyAlignment="1">
      <alignment horizontal="right"/>
    </xf>
    <xf numFmtId="0" fontId="7" fillId="2" borderId="8" xfId="4" applyFont="1" applyFill="1" applyBorder="1" applyAlignment="1">
      <alignment horizontal="left" indent="2"/>
    </xf>
    <xf numFmtId="169" fontId="7" fillId="2" borderId="9" xfId="4" applyNumberFormat="1" applyFont="1" applyFill="1" applyBorder="1" applyAlignment="1">
      <alignment horizontal="center" vertical="center"/>
    </xf>
    <xf numFmtId="169" fontId="7" fillId="2" borderId="17" xfId="4" applyNumberFormat="1" applyFont="1" applyFill="1" applyBorder="1" applyAlignment="1">
      <alignment horizontal="center" vertical="center"/>
    </xf>
    <xf numFmtId="169" fontId="7" fillId="2" borderId="18" xfId="4" applyNumberFormat="1" applyFont="1" applyFill="1" applyBorder="1" applyAlignment="1">
      <alignment horizontal="center"/>
    </xf>
    <xf numFmtId="170" fontId="7" fillId="2" borderId="17" xfId="1" applyNumberFormat="1" applyFont="1" applyFill="1" applyBorder="1" applyAlignment="1">
      <alignment horizontal="center" vertical="center"/>
    </xf>
    <xf numFmtId="169" fontId="7" fillId="2" borderId="0" xfId="4" applyNumberFormat="1" applyFont="1" applyFill="1" applyAlignment="1">
      <alignment horizontal="center" vertical="center"/>
    </xf>
    <xf numFmtId="169" fontId="7" fillId="2" borderId="8" xfId="4" applyNumberFormat="1" applyFont="1" applyFill="1" applyBorder="1" applyAlignment="1">
      <alignment horizontal="center"/>
    </xf>
    <xf numFmtId="170" fontId="7" fillId="2" borderId="0" xfId="1" applyNumberFormat="1" applyFont="1" applyFill="1" applyBorder="1" applyAlignment="1">
      <alignment horizontal="center" vertical="center"/>
    </xf>
    <xf numFmtId="170" fontId="7" fillId="0" borderId="0" xfId="1" applyNumberFormat="1" applyFont="1" applyFill="1" applyBorder="1" applyAlignment="1">
      <alignment horizontal="center" vertical="center"/>
    </xf>
    <xf numFmtId="169" fontId="7" fillId="0" borderId="0" xfId="4" applyNumberFormat="1" applyFont="1" applyAlignment="1">
      <alignment horizontal="center" vertical="center"/>
    </xf>
    <xf numFmtId="169" fontId="7" fillId="2" borderId="8" xfId="4" applyNumberFormat="1" applyFont="1" applyFill="1" applyBorder="1" applyAlignment="1">
      <alignment horizontal="center" vertical="center"/>
    </xf>
    <xf numFmtId="170" fontId="7" fillId="2" borderId="19" xfId="1" applyNumberFormat="1" applyFont="1" applyFill="1" applyBorder="1" applyAlignment="1">
      <alignment horizontal="center" vertical="center"/>
    </xf>
    <xf numFmtId="0" fontId="12" fillId="2" borderId="20" xfId="4" applyFont="1" applyFill="1" applyBorder="1" applyAlignment="1">
      <alignment horizontal="left" indent="1"/>
    </xf>
    <xf numFmtId="169" fontId="12" fillId="2" borderId="2" xfId="4" applyNumberFormat="1" applyFont="1" applyFill="1" applyBorder="1" applyAlignment="1">
      <alignment horizontal="center" vertical="center"/>
    </xf>
    <xf numFmtId="169" fontId="16" fillId="2" borderId="3" xfId="0" applyNumberFormat="1" applyFont="1" applyFill="1" applyBorder="1"/>
    <xf numFmtId="169" fontId="12" fillId="2" borderId="21" xfId="4" applyNumberFormat="1" applyFont="1" applyFill="1" applyBorder="1" applyAlignment="1">
      <alignment horizontal="center" vertical="center"/>
    </xf>
    <xf numFmtId="170" fontId="16" fillId="2" borderId="3" xfId="1" applyNumberFormat="1" applyFont="1" applyFill="1" applyBorder="1"/>
    <xf numFmtId="170" fontId="16" fillId="2" borderId="22" xfId="1" applyNumberFormat="1" applyFont="1" applyFill="1" applyBorder="1"/>
    <xf numFmtId="0" fontId="12" fillId="2" borderId="0" xfId="4" applyFont="1" applyFill="1" applyAlignment="1">
      <alignment horizontal="left" indent="2"/>
    </xf>
    <xf numFmtId="41" fontId="16" fillId="2" borderId="0" xfId="0" applyNumberFormat="1" applyFont="1" applyFill="1"/>
    <xf numFmtId="171" fontId="16" fillId="2" borderId="0" xfId="0" applyNumberFormat="1" applyFont="1" applyFill="1"/>
    <xf numFmtId="165" fontId="21" fillId="2" borderId="0" xfId="2" applyNumberFormat="1" applyFont="1" applyFill="1" applyBorder="1"/>
    <xf numFmtId="0" fontId="21" fillId="2" borderId="0" xfId="2" applyNumberFormat="1" applyFont="1" applyFill="1" applyBorder="1"/>
    <xf numFmtId="165" fontId="16" fillId="2" borderId="8" xfId="2" applyNumberFormat="1" applyFont="1" applyFill="1" applyBorder="1"/>
    <xf numFmtId="169" fontId="16" fillId="2" borderId="0" xfId="0" applyNumberFormat="1" applyFont="1" applyFill="1"/>
    <xf numFmtId="41" fontId="22" fillId="2" borderId="0" xfId="0" applyNumberFormat="1" applyFont="1" applyFill="1"/>
    <xf numFmtId="165" fontId="16" fillId="2" borderId="2" xfId="2" applyNumberFormat="1" applyFont="1" applyFill="1" applyBorder="1"/>
    <xf numFmtId="41" fontId="16" fillId="2" borderId="8" xfId="0" applyNumberFormat="1" applyFont="1" applyFill="1" applyBorder="1"/>
    <xf numFmtId="170" fontId="7" fillId="2" borderId="9" xfId="1" applyNumberFormat="1" applyFont="1" applyFill="1" applyBorder="1" applyAlignment="1">
      <alignment horizontal="center" vertical="center"/>
    </xf>
    <xf numFmtId="169" fontId="7" fillId="2" borderId="23" xfId="4" applyNumberFormat="1" applyFont="1" applyFill="1" applyBorder="1" applyAlignment="1">
      <alignment horizontal="center" vertical="center"/>
    </xf>
    <xf numFmtId="170" fontId="7" fillId="2" borderId="0" xfId="4" applyNumberFormat="1" applyFont="1" applyFill="1" applyAlignment="1">
      <alignment horizontal="center" vertical="center"/>
    </xf>
    <xf numFmtId="169" fontId="16" fillId="0" borderId="3" xfId="0" applyNumberFormat="1" applyFont="1" applyBorder="1"/>
    <xf numFmtId="169" fontId="16" fillId="2" borderId="22" xfId="0" applyNumberFormat="1" applyFont="1" applyFill="1" applyBorder="1"/>
    <xf numFmtId="169" fontId="16" fillId="2" borderId="20" xfId="0" applyNumberFormat="1" applyFont="1" applyFill="1" applyBorder="1"/>
    <xf numFmtId="170" fontId="16" fillId="2" borderId="3" xfId="0" applyNumberFormat="1" applyFont="1" applyFill="1" applyBorder="1"/>
    <xf numFmtId="0" fontId="23" fillId="2" borderId="0" xfId="4" applyFont="1" applyFill="1" applyAlignment="1">
      <alignment horizontal="left" indent="2"/>
    </xf>
    <xf numFmtId="165" fontId="22" fillId="2" borderId="0" xfId="2" applyNumberFormat="1" applyFont="1" applyFill="1" applyBorder="1"/>
    <xf numFmtId="0" fontId="24" fillId="2" borderId="0" xfId="4" applyFont="1" applyFill="1" applyAlignment="1">
      <alignment horizontal="left"/>
    </xf>
    <xf numFmtId="169" fontId="0" fillId="2" borderId="0" xfId="0" applyNumberFormat="1" applyFill="1"/>
    <xf numFmtId="169" fontId="0" fillId="4" borderId="0" xfId="0" applyNumberFormat="1" applyFill="1"/>
    <xf numFmtId="165" fontId="0" fillId="2" borderId="0" xfId="2" applyNumberFormat="1" applyFont="1" applyFill="1"/>
    <xf numFmtId="172" fontId="0" fillId="2" borderId="0" xfId="0" applyNumberFormat="1" applyFill="1"/>
    <xf numFmtId="173" fontId="7" fillId="2" borderId="0" xfId="1" applyNumberFormat="1" applyFont="1" applyFill="1" applyBorder="1"/>
    <xf numFmtId="43" fontId="7" fillId="2" borderId="0" xfId="1" applyFont="1" applyFill="1" applyBorder="1"/>
    <xf numFmtId="3" fontId="7" fillId="0" borderId="0" xfId="4" applyNumberFormat="1" applyFont="1" applyAlignment="1">
      <alignment horizontal="right" vertical="center"/>
    </xf>
    <xf numFmtId="3" fontId="7" fillId="0" borderId="2" xfId="4" applyNumberFormat="1" applyFont="1" applyBorder="1" applyAlignment="1">
      <alignment horizontal="right" vertical="center"/>
    </xf>
    <xf numFmtId="0" fontId="16" fillId="2" borderId="5" xfId="0" applyFont="1" applyFill="1" applyBorder="1" applyAlignment="1">
      <alignment horizontal="right"/>
    </xf>
    <xf numFmtId="0" fontId="7" fillId="0" borderId="8" xfId="4" applyFont="1" applyBorder="1"/>
    <xf numFmtId="3" fontId="7" fillId="2" borderId="0" xfId="4" applyNumberFormat="1" applyFont="1" applyFill="1" applyAlignment="1">
      <alignment horizontal="right" vertical="center"/>
    </xf>
    <xf numFmtId="3" fontId="7" fillId="0" borderId="8" xfId="4" applyNumberFormat="1" applyFont="1" applyBorder="1" applyAlignment="1">
      <alignment horizontal="right" vertical="center"/>
    </xf>
    <xf numFmtId="3" fontId="7" fillId="0" borderId="9" xfId="4" applyNumberFormat="1" applyFont="1" applyBorder="1" applyAlignment="1">
      <alignment horizontal="right" vertical="center"/>
    </xf>
    <xf numFmtId="3" fontId="7" fillId="0" borderId="0" xfId="4" applyNumberFormat="1" applyFont="1"/>
    <xf numFmtId="3" fontId="7" fillId="0" borderId="19" xfId="4" applyNumberFormat="1" applyFont="1" applyBorder="1" applyAlignment="1">
      <alignment horizontal="right" vertical="center"/>
    </xf>
    <xf numFmtId="0" fontId="7" fillId="0" borderId="0" xfId="4" applyFont="1"/>
    <xf numFmtId="170" fontId="7" fillId="2" borderId="0" xfId="1" applyNumberFormat="1" applyFont="1" applyFill="1" applyBorder="1"/>
    <xf numFmtId="165" fontId="7" fillId="0" borderId="0" xfId="4" applyNumberFormat="1" applyFont="1" applyAlignment="1">
      <alignment horizontal="right" vertical="center"/>
    </xf>
    <xf numFmtId="165" fontId="7" fillId="0" borderId="8" xfId="4" applyNumberFormat="1" applyFont="1" applyBorder="1" applyAlignment="1">
      <alignment horizontal="right" vertical="center"/>
    </xf>
    <xf numFmtId="165" fontId="7" fillId="0" borderId="19" xfId="4" applyNumberFormat="1" applyFont="1" applyBorder="1" applyAlignment="1">
      <alignment horizontal="right" vertical="center"/>
    </xf>
    <xf numFmtId="9" fontId="7" fillId="0" borderId="0" xfId="2" applyFont="1" applyFill="1"/>
    <xf numFmtId="0" fontId="7" fillId="2" borderId="24" xfId="4" applyFont="1" applyFill="1" applyBorder="1"/>
    <xf numFmtId="0" fontId="7" fillId="2" borderId="25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right" vertical="center"/>
    </xf>
    <xf numFmtId="3" fontId="7" fillId="0" borderId="17" xfId="4" applyNumberFormat="1" applyFont="1" applyBorder="1" applyAlignment="1">
      <alignment horizontal="right" vertical="center"/>
    </xf>
    <xf numFmtId="0" fontId="7" fillId="0" borderId="8" xfId="4" applyFont="1" applyBorder="1" applyAlignment="1">
      <alignment horizontal="left" indent="2"/>
    </xf>
    <xf numFmtId="174" fontId="7" fillId="0" borderId="0" xfId="4" applyNumberFormat="1" applyFont="1" applyAlignment="1">
      <alignment horizontal="right" vertical="center"/>
    </xf>
    <xf numFmtId="174" fontId="7" fillId="0" borderId="8" xfId="4" applyNumberFormat="1" applyFont="1" applyBorder="1" applyAlignment="1">
      <alignment horizontal="right" vertical="center"/>
    </xf>
    <xf numFmtId="174" fontId="7" fillId="0" borderId="19" xfId="4" applyNumberFormat="1" applyFont="1" applyBorder="1" applyAlignment="1">
      <alignment horizontal="right" vertical="center"/>
    </xf>
    <xf numFmtId="173" fontId="7" fillId="0" borderId="0" xfId="1" applyNumberFormat="1" applyFont="1" applyFill="1" applyBorder="1" applyAlignment="1">
      <alignment horizontal="right" vertical="center"/>
    </xf>
    <xf numFmtId="43" fontId="7" fillId="0" borderId="0" xfId="1" applyFont="1" applyFill="1" applyBorder="1" applyAlignment="1">
      <alignment horizontal="right" vertical="center"/>
    </xf>
    <xf numFmtId="0" fontId="7" fillId="0" borderId="8" xfId="4" applyFont="1" applyBorder="1" applyAlignment="1">
      <alignment horizontal="left"/>
    </xf>
    <xf numFmtId="9" fontId="7" fillId="0" borderId="0" xfId="2" applyFont="1" applyFill="1" applyBorder="1" applyAlignment="1">
      <alignment horizontal="right" vertical="center"/>
    </xf>
    <xf numFmtId="9" fontId="7" fillId="0" borderId="8" xfId="2" applyFont="1" applyFill="1" applyBorder="1" applyAlignment="1">
      <alignment horizontal="right" vertical="center"/>
    </xf>
    <xf numFmtId="0" fontId="7" fillId="0" borderId="8" xfId="4" applyFont="1" applyBorder="1" applyAlignment="1">
      <alignment wrapText="1"/>
    </xf>
    <xf numFmtId="0" fontId="7" fillId="0" borderId="0" xfId="4" applyFont="1" applyAlignment="1">
      <alignment horizontal="right" vertical="center"/>
    </xf>
    <xf numFmtId="0" fontId="7" fillId="0" borderId="8" xfId="4" applyFont="1" applyBorder="1" applyAlignment="1">
      <alignment horizontal="right" vertical="center"/>
    </xf>
    <xf numFmtId="4" fontId="7" fillId="0" borderId="0" xfId="4" applyNumberFormat="1" applyFont="1" applyAlignment="1">
      <alignment horizontal="right" vertical="center"/>
    </xf>
    <xf numFmtId="174" fontId="7" fillId="2" borderId="0" xfId="4" applyNumberFormat="1" applyFont="1" applyFill="1" applyAlignment="1">
      <alignment horizontal="right" vertical="center"/>
    </xf>
    <xf numFmtId="0" fontId="7" fillId="0" borderId="21" xfId="4" applyFont="1" applyBorder="1"/>
    <xf numFmtId="174" fontId="7" fillId="0" borderId="2" xfId="4" applyNumberFormat="1" applyFont="1" applyBorder="1" applyAlignment="1">
      <alignment horizontal="right" vertical="center"/>
    </xf>
    <xf numFmtId="170" fontId="7" fillId="0" borderId="0" xfId="1" applyNumberFormat="1" applyFont="1" applyFill="1" applyBorder="1" applyAlignment="1">
      <alignment horizontal="right" vertical="center"/>
    </xf>
    <xf numFmtId="174" fontId="7" fillId="0" borderId="21" xfId="4" applyNumberFormat="1" applyFont="1" applyBorder="1" applyAlignment="1">
      <alignment horizontal="right" vertical="center"/>
    </xf>
    <xf numFmtId="174" fontId="7" fillId="2" borderId="2" xfId="4" applyNumberFormat="1" applyFont="1" applyFill="1" applyBorder="1" applyAlignment="1">
      <alignment horizontal="right" vertical="center"/>
    </xf>
    <xf numFmtId="3" fontId="7" fillId="2" borderId="0" xfId="4" applyNumberFormat="1" applyFont="1" applyFill="1"/>
    <xf numFmtId="3" fontId="7" fillId="2" borderId="27" xfId="4" applyNumberFormat="1" applyFont="1" applyFill="1" applyBorder="1"/>
    <xf numFmtId="3" fontId="7" fillId="0" borderId="27" xfId="4" applyNumberFormat="1" applyFont="1" applyBorder="1"/>
    <xf numFmtId="3" fontId="7" fillId="2" borderId="8" xfId="4" applyNumberFormat="1" applyFont="1" applyFill="1" applyBorder="1"/>
    <xf numFmtId="165" fontId="8" fillId="2" borderId="0" xfId="2" applyNumberFormat="1" applyFont="1" applyFill="1" applyBorder="1" applyAlignment="1">
      <alignment horizontal="center"/>
    </xf>
    <xf numFmtId="165" fontId="8" fillId="2" borderId="2" xfId="2" applyNumberFormat="1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/>
    </xf>
    <xf numFmtId="165" fontId="8" fillId="2" borderId="8" xfId="2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7" fillId="2" borderId="8" xfId="4" applyFont="1" applyFill="1" applyBorder="1"/>
    <xf numFmtId="3" fontId="7" fillId="2" borderId="8" xfId="4" applyNumberFormat="1" applyFont="1" applyFill="1" applyBorder="1" applyAlignment="1">
      <alignment horizontal="right" vertical="center"/>
    </xf>
    <xf numFmtId="3" fontId="7" fillId="0" borderId="21" xfId="4" applyNumberFormat="1" applyFont="1" applyBorder="1" applyAlignment="1">
      <alignment horizontal="right" vertical="center"/>
    </xf>
    <xf numFmtId="3" fontId="7" fillId="2" borderId="2" xfId="4" applyNumberFormat="1" applyFont="1" applyFill="1" applyBorder="1" applyAlignment="1">
      <alignment horizontal="right" vertical="center"/>
    </xf>
    <xf numFmtId="165" fontId="7" fillId="0" borderId="0" xfId="2" applyNumberFormat="1" applyFont="1"/>
    <xf numFmtId="3" fontId="7" fillId="0" borderId="28" xfId="4" applyNumberFormat="1" applyFont="1" applyBorder="1" applyAlignment="1">
      <alignment horizontal="right" vertical="center"/>
    </xf>
    <xf numFmtId="0" fontId="12" fillId="0" borderId="25" xfId="4" applyFont="1" applyBorder="1"/>
    <xf numFmtId="3" fontId="7" fillId="0" borderId="25" xfId="4" applyNumberFormat="1" applyFont="1" applyBorder="1" applyAlignment="1">
      <alignment horizontal="right" vertical="center"/>
    </xf>
    <xf numFmtId="165" fontId="7" fillId="0" borderId="25" xfId="2" applyNumberFormat="1" applyFont="1" applyFill="1" applyBorder="1" applyAlignment="1">
      <alignment horizontal="right" vertical="center"/>
    </xf>
    <xf numFmtId="3" fontId="7" fillId="0" borderId="24" xfId="4" applyNumberFormat="1" applyFont="1" applyBorder="1" applyAlignment="1">
      <alignment horizontal="right" vertical="center"/>
    </xf>
    <xf numFmtId="3" fontId="7" fillId="2" borderId="25" xfId="4" applyNumberFormat="1" applyFont="1" applyFill="1" applyBorder="1" applyAlignment="1">
      <alignment horizontal="right" vertical="center"/>
    </xf>
    <xf numFmtId="9" fontId="7" fillId="0" borderId="17" xfId="2" applyFont="1" applyFill="1" applyBorder="1" applyAlignment="1">
      <alignment horizontal="right" vertical="center"/>
    </xf>
    <xf numFmtId="9" fontId="7" fillId="2" borderId="3" xfId="2" applyFont="1" applyFill="1" applyBorder="1"/>
    <xf numFmtId="9" fontId="7" fillId="0" borderId="3" xfId="2" applyFont="1" applyFill="1" applyBorder="1"/>
    <xf numFmtId="9" fontId="7" fillId="2" borderId="3" xfId="2" applyFont="1" applyFill="1" applyBorder="1" applyAlignment="1">
      <alignment horizontal="right"/>
    </xf>
    <xf numFmtId="9" fontId="7" fillId="2" borderId="0" xfId="2" applyFont="1" applyFill="1"/>
    <xf numFmtId="0" fontId="7" fillId="2" borderId="0" xfId="4" applyFont="1" applyFill="1" applyAlignment="1">
      <alignment horizontal="left"/>
    </xf>
    <xf numFmtId="2" fontId="7" fillId="2" borderId="0" xfId="4" applyNumberFormat="1" applyFont="1" applyFill="1"/>
    <xf numFmtId="164" fontId="7" fillId="2" borderId="0" xfId="4" applyNumberFormat="1" applyFont="1" applyFill="1"/>
    <xf numFmtId="164" fontId="7" fillId="5" borderId="0" xfId="4" applyNumberFormat="1" applyFont="1" applyFill="1"/>
    <xf numFmtId="164" fontId="7" fillId="0" borderId="0" xfId="4" applyNumberFormat="1" applyFont="1"/>
    <xf numFmtId="0" fontId="7" fillId="2" borderId="19" xfId="4" applyFont="1" applyFill="1" applyBorder="1"/>
    <xf numFmtId="165" fontId="8" fillId="2" borderId="0" xfId="2" applyNumberFormat="1" applyFont="1" applyFill="1" applyBorder="1"/>
    <xf numFmtId="0" fontId="8" fillId="2" borderId="2" xfId="0" applyFont="1" applyFill="1" applyBorder="1"/>
    <xf numFmtId="0" fontId="16" fillId="2" borderId="29" xfId="0" applyFont="1" applyFill="1" applyBorder="1" applyAlignment="1">
      <alignment horizontal="right"/>
    </xf>
    <xf numFmtId="0" fontId="7" fillId="0" borderId="30" xfId="4" applyFont="1" applyBorder="1"/>
    <xf numFmtId="3" fontId="7" fillId="2" borderId="30" xfId="4" applyNumberFormat="1" applyFont="1" applyFill="1" applyBorder="1"/>
    <xf numFmtId="0" fontId="7" fillId="2" borderId="30" xfId="4" applyFont="1" applyFill="1" applyBorder="1"/>
    <xf numFmtId="0" fontId="7" fillId="0" borderId="20" xfId="4" applyFont="1" applyBorder="1"/>
    <xf numFmtId="41" fontId="7" fillId="0" borderId="3" xfId="4" applyNumberFormat="1" applyFont="1" applyBorder="1" applyAlignment="1">
      <alignment horizontal="right" vertical="center"/>
    </xf>
    <xf numFmtId="173" fontId="7" fillId="0" borderId="3" xfId="1" applyNumberFormat="1" applyFont="1" applyFill="1" applyBorder="1" applyAlignment="1">
      <alignment horizontal="right" vertical="center"/>
    </xf>
    <xf numFmtId="173" fontId="7" fillId="0" borderId="20" xfId="1" applyNumberFormat="1" applyFont="1" applyFill="1" applyBorder="1" applyAlignment="1">
      <alignment horizontal="right" vertical="center"/>
    </xf>
    <xf numFmtId="165" fontId="7" fillId="0" borderId="3" xfId="4" applyNumberFormat="1" applyFont="1" applyBorder="1" applyAlignment="1">
      <alignment horizontal="right" vertical="center"/>
    </xf>
    <xf numFmtId="165" fontId="7" fillId="0" borderId="2" xfId="4" applyNumberFormat="1" applyFont="1" applyBorder="1" applyAlignment="1">
      <alignment horizontal="right" vertical="center"/>
    </xf>
    <xf numFmtId="165" fontId="7" fillId="0" borderId="31" xfId="4" applyNumberFormat="1" applyFont="1" applyBorder="1" applyAlignment="1">
      <alignment horizontal="right" vertical="center"/>
    </xf>
    <xf numFmtId="3" fontId="8" fillId="2" borderId="0" xfId="0" applyNumberFormat="1" applyFont="1" applyFill="1"/>
    <xf numFmtId="3" fontId="8" fillId="0" borderId="0" xfId="0" applyNumberFormat="1" applyFont="1"/>
    <xf numFmtId="3" fontId="8" fillId="2" borderId="4" xfId="0" applyNumberFormat="1" applyFont="1" applyFill="1" applyBorder="1"/>
    <xf numFmtId="3" fontId="8" fillId="0" borderId="4" xfId="0" applyNumberFormat="1" applyFont="1" applyBorder="1"/>
    <xf numFmtId="3" fontId="8" fillId="2" borderId="8" xfId="0" applyNumberFormat="1" applyFont="1" applyFill="1" applyBorder="1"/>
    <xf numFmtId="0" fontId="8" fillId="2" borderId="8" xfId="0" applyFont="1" applyFill="1" applyBorder="1"/>
    <xf numFmtId="0" fontId="8" fillId="2" borderId="31" xfId="0" applyFont="1" applyFill="1" applyBorder="1"/>
    <xf numFmtId="0" fontId="8" fillId="2" borderId="30" xfId="0" applyFont="1" applyFill="1" applyBorder="1"/>
    <xf numFmtId="0" fontId="12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/>
    </xf>
    <xf numFmtId="0" fontId="8" fillId="0" borderId="30" xfId="0" applyFont="1" applyBorder="1"/>
    <xf numFmtId="174" fontId="7" fillId="0" borderId="9" xfId="4" applyNumberFormat="1" applyFont="1" applyBorder="1" applyAlignment="1">
      <alignment horizontal="right" vertical="center"/>
    </xf>
    <xf numFmtId="3" fontId="8" fillId="0" borderId="0" xfId="4" applyNumberFormat="1" applyFont="1" applyAlignment="1">
      <alignment horizontal="right" vertical="center"/>
    </xf>
    <xf numFmtId="174" fontId="8" fillId="0" borderId="0" xfId="4" applyNumberFormat="1" applyFont="1" applyAlignment="1">
      <alignment horizontal="right" vertical="center"/>
    </xf>
    <xf numFmtId="165" fontId="7" fillId="0" borderId="20" xfId="4" applyNumberFormat="1" applyFont="1" applyBorder="1" applyAlignment="1">
      <alignment horizontal="right" vertical="center"/>
    </xf>
    <xf numFmtId="41" fontId="7" fillId="0" borderId="0" xfId="4" applyNumberFormat="1" applyFont="1" applyAlignment="1">
      <alignment horizontal="right" vertical="center"/>
    </xf>
    <xf numFmtId="173" fontId="7" fillId="0" borderId="4" xfId="1" applyNumberFormat="1" applyFont="1" applyFill="1" applyBorder="1" applyAlignment="1">
      <alignment horizontal="right" vertical="center"/>
    </xf>
    <xf numFmtId="41" fontId="7" fillId="0" borderId="25" xfId="4" applyNumberFormat="1" applyFont="1" applyBorder="1" applyAlignment="1">
      <alignment horizontal="right" vertical="center"/>
    </xf>
    <xf numFmtId="173" fontId="7" fillId="0" borderId="25" xfId="1" applyNumberFormat="1" applyFont="1" applyFill="1" applyBorder="1" applyAlignment="1">
      <alignment horizontal="right" vertical="center"/>
    </xf>
    <xf numFmtId="165" fontId="7" fillId="0" borderId="25" xfId="4" applyNumberFormat="1" applyFont="1" applyBorder="1" applyAlignment="1">
      <alignment horizontal="right" vertical="center"/>
    </xf>
    <xf numFmtId="165" fontId="7" fillId="0" borderId="18" xfId="4" applyNumberFormat="1" applyFont="1" applyBorder="1" applyAlignment="1">
      <alignment horizontal="right" vertical="center"/>
    </xf>
    <xf numFmtId="0" fontId="7" fillId="0" borderId="3" xfId="4" applyFont="1" applyBorder="1"/>
    <xf numFmtId="9" fontId="7" fillId="0" borderId="3" xfId="2" applyFont="1" applyFill="1" applyBorder="1" applyAlignment="1">
      <alignment horizontal="right" vertical="center"/>
    </xf>
    <xf numFmtId="41" fontId="7" fillId="0" borderId="4" xfId="4" applyNumberFormat="1" applyFont="1" applyBorder="1" applyAlignment="1">
      <alignment horizontal="right" vertical="center"/>
    </xf>
    <xf numFmtId="165" fontId="7" fillId="0" borderId="4" xfId="4" applyNumberFormat="1" applyFont="1" applyBorder="1" applyAlignment="1">
      <alignment horizontal="right" vertical="center"/>
    </xf>
    <xf numFmtId="165" fontId="8" fillId="2" borderId="0" xfId="0" applyNumberFormat="1" applyFont="1" applyFill="1"/>
    <xf numFmtId="9" fontId="8" fillId="2" borderId="0" xfId="0" applyNumberFormat="1" applyFont="1" applyFill="1"/>
    <xf numFmtId="0" fontId="25" fillId="0" borderId="0" xfId="0" applyFont="1"/>
    <xf numFmtId="9" fontId="7" fillId="2" borderId="0" xfId="2" applyFont="1" applyFill="1" applyBorder="1"/>
    <xf numFmtId="0" fontId="7" fillId="2" borderId="0" xfId="0" applyFont="1" applyFill="1"/>
    <xf numFmtId="3" fontId="7" fillId="0" borderId="23" xfId="4" applyNumberFormat="1" applyFont="1" applyBorder="1" applyAlignment="1">
      <alignment horizontal="right" vertical="center"/>
    </xf>
    <xf numFmtId="0" fontId="7" fillId="0" borderId="32" xfId="4" applyFont="1" applyBorder="1"/>
    <xf numFmtId="41" fontId="7" fillId="0" borderId="10" xfId="4" applyNumberFormat="1" applyFont="1" applyBorder="1" applyAlignment="1">
      <alignment horizontal="right" vertical="center"/>
    </xf>
    <xf numFmtId="165" fontId="7" fillId="0" borderId="32" xfId="4" applyNumberFormat="1" applyFont="1" applyBorder="1" applyAlignment="1">
      <alignment horizontal="right" vertical="center"/>
    </xf>
    <xf numFmtId="165" fontId="7" fillId="0" borderId="10" xfId="4" applyNumberFormat="1" applyFont="1" applyBorder="1" applyAlignment="1">
      <alignment horizontal="right" vertical="center"/>
    </xf>
    <xf numFmtId="165" fontId="7" fillId="0" borderId="33" xfId="4" applyNumberFormat="1" applyFont="1" applyBorder="1" applyAlignment="1">
      <alignment horizontal="right" vertical="center"/>
    </xf>
    <xf numFmtId="3" fontId="7" fillId="2" borderId="0" xfId="0" applyNumberFormat="1" applyFont="1" applyFill="1"/>
    <xf numFmtId="3" fontId="7" fillId="0" borderId="0" xfId="0" applyNumberFormat="1" applyFont="1"/>
    <xf numFmtId="3" fontId="7" fillId="2" borderId="8" xfId="0" applyNumberFormat="1" applyFont="1" applyFill="1" applyBorder="1"/>
    <xf numFmtId="165" fontId="7" fillId="2" borderId="0" xfId="2" applyNumberFormat="1" applyFont="1" applyFill="1"/>
    <xf numFmtId="165" fontId="7" fillId="2" borderId="0" xfId="2" applyNumberFormat="1" applyFont="1" applyFill="1" applyBorder="1"/>
    <xf numFmtId="165" fontId="7" fillId="2" borderId="2" xfId="2" applyNumberFormat="1" applyFont="1" applyFill="1" applyBorder="1"/>
    <xf numFmtId="165" fontId="7" fillId="0" borderId="2" xfId="2" applyNumberFormat="1" applyFont="1" applyFill="1" applyBorder="1"/>
    <xf numFmtId="165" fontId="7" fillId="2" borderId="8" xfId="2" applyNumberFormat="1" applyFont="1" applyFill="1" applyBorder="1"/>
    <xf numFmtId="0" fontId="26" fillId="2" borderId="0" xfId="4" applyFont="1" applyFill="1"/>
    <xf numFmtId="165" fontId="7" fillId="0" borderId="0" xfId="2" applyNumberFormat="1" applyFont="1" applyFill="1" applyBorder="1" applyAlignment="1">
      <alignment horizontal="right" vertical="center"/>
    </xf>
    <xf numFmtId="174" fontId="7" fillId="0" borderId="0" xfId="1" applyNumberFormat="1" applyFont="1" applyFill="1" applyBorder="1" applyAlignment="1">
      <alignment horizontal="right" vertical="center"/>
    </xf>
    <xf numFmtId="174" fontId="7" fillId="0" borderId="10" xfId="4" applyNumberFormat="1" applyFont="1" applyBorder="1" applyAlignment="1">
      <alignment horizontal="right" vertical="center"/>
    </xf>
    <xf numFmtId="165" fontId="7" fillId="0" borderId="22" xfId="4" applyNumberFormat="1" applyFont="1" applyBorder="1" applyAlignment="1">
      <alignment horizontal="right" vertical="center"/>
    </xf>
    <xf numFmtId="0" fontId="7" fillId="0" borderId="17" xfId="4" applyFont="1" applyBorder="1"/>
    <xf numFmtId="9" fontId="7" fillId="0" borderId="34" xfId="2" applyFont="1" applyFill="1" applyBorder="1" applyAlignment="1">
      <alignment horizontal="right" vertical="center"/>
    </xf>
    <xf numFmtId="173" fontId="7" fillId="0" borderId="17" xfId="1" applyNumberFormat="1" applyFont="1" applyFill="1" applyBorder="1" applyAlignment="1">
      <alignment horizontal="right" vertical="center"/>
    </xf>
    <xf numFmtId="9" fontId="7" fillId="0" borderId="35" xfId="2" applyFont="1" applyFill="1" applyBorder="1" applyAlignment="1">
      <alignment horizontal="right" vertical="center"/>
    </xf>
    <xf numFmtId="165" fontId="7" fillId="0" borderId="17" xfId="4" applyNumberFormat="1" applyFont="1" applyBorder="1" applyAlignment="1">
      <alignment horizontal="right" vertical="center"/>
    </xf>
    <xf numFmtId="9" fontId="7" fillId="0" borderId="22" xfId="2" applyFont="1" applyFill="1" applyBorder="1" applyAlignment="1">
      <alignment horizontal="right" vertical="center"/>
    </xf>
    <xf numFmtId="3" fontId="7" fillId="0" borderId="4" xfId="4" applyNumberFormat="1" applyFont="1" applyBorder="1" applyAlignment="1">
      <alignment horizontal="right" vertical="center"/>
    </xf>
    <xf numFmtId="41" fontId="12" fillId="2" borderId="0" xfId="4" applyNumberFormat="1" applyFont="1" applyFill="1" applyAlignment="1">
      <alignment horizontal="right" vertical="center"/>
    </xf>
    <xf numFmtId="0" fontId="7" fillId="2" borderId="0" xfId="4" applyFont="1" applyFill="1" applyAlignment="1">
      <alignment horizontal="left" wrapText="1"/>
    </xf>
    <xf numFmtId="165" fontId="12" fillId="2" borderId="0" xfId="2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4" fontId="8" fillId="0" borderId="0" xfId="0" applyNumberFormat="1" applyFont="1"/>
    <xf numFmtId="165" fontId="8" fillId="0" borderId="0" xfId="0" applyNumberFormat="1" applyFont="1"/>
    <xf numFmtId="173" fontId="7" fillId="0" borderId="10" xfId="1" applyNumberFormat="1" applyFont="1" applyFill="1" applyBorder="1" applyAlignment="1">
      <alignment horizontal="right" vertical="center"/>
    </xf>
    <xf numFmtId="174" fontId="7" fillId="0" borderId="36" xfId="4" applyNumberFormat="1" applyFont="1" applyBorder="1" applyAlignment="1">
      <alignment horizontal="right" vertical="center"/>
    </xf>
    <xf numFmtId="174" fontId="7" fillId="0" borderId="23" xfId="4" applyNumberFormat="1" applyFont="1" applyBorder="1" applyAlignment="1">
      <alignment horizontal="right" vertical="center"/>
    </xf>
    <xf numFmtId="3" fontId="7" fillId="0" borderId="3" xfId="4" applyNumberFormat="1" applyFont="1" applyBorder="1" applyAlignment="1">
      <alignment horizontal="right" vertical="center"/>
    </xf>
    <xf numFmtId="9" fontId="7" fillId="0" borderId="0" xfId="2" applyFont="1" applyBorder="1"/>
    <xf numFmtId="3" fontId="12" fillId="2" borderId="0" xfId="4" applyNumberFormat="1" applyFont="1" applyFill="1"/>
    <xf numFmtId="174" fontId="7" fillId="0" borderId="8" xfId="4" applyNumberFormat="1" applyFont="1" applyBorder="1" applyAlignment="1">
      <alignment horizontal="left" vertical="center"/>
    </xf>
    <xf numFmtId="174" fontId="27" fillId="0" borderId="8" xfId="4" applyNumberFormat="1" applyFont="1" applyBorder="1" applyAlignment="1">
      <alignment horizontal="right" vertical="center"/>
    </xf>
    <xf numFmtId="174" fontId="27" fillId="0" borderId="0" xfId="4" applyNumberFormat="1" applyFont="1" applyAlignment="1">
      <alignment horizontal="right" vertical="center"/>
    </xf>
    <xf numFmtId="174" fontId="27" fillId="0" borderId="19" xfId="4" applyNumberFormat="1" applyFont="1" applyBorder="1" applyAlignment="1">
      <alignment horizontal="right" vertical="center"/>
    </xf>
    <xf numFmtId="3" fontId="27" fillId="0" borderId="8" xfId="4" applyNumberFormat="1" applyFont="1" applyBorder="1" applyAlignment="1">
      <alignment horizontal="right" vertical="center"/>
    </xf>
    <xf numFmtId="3" fontId="27" fillId="0" borderId="0" xfId="4" applyNumberFormat="1" applyFont="1" applyAlignment="1">
      <alignment horizontal="right" vertical="center"/>
    </xf>
    <xf numFmtId="3" fontId="27" fillId="0" borderId="19" xfId="4" applyNumberFormat="1" applyFont="1" applyBorder="1" applyAlignment="1">
      <alignment horizontal="right" vertical="center"/>
    </xf>
    <xf numFmtId="0" fontId="7" fillId="0" borderId="8" xfId="4" applyFont="1" applyBorder="1" applyAlignment="1">
      <alignment horizontal="left" wrapText="1" indent="2"/>
    </xf>
    <xf numFmtId="0" fontId="7" fillId="0" borderId="20" xfId="4" applyFont="1" applyBorder="1" applyAlignment="1">
      <alignment horizontal="left" indent="2"/>
    </xf>
    <xf numFmtId="174" fontId="7" fillId="0" borderId="3" xfId="4" applyNumberFormat="1" applyFont="1" applyBorder="1" applyAlignment="1">
      <alignment horizontal="right" vertical="center"/>
    </xf>
    <xf numFmtId="174" fontId="7" fillId="0" borderId="20" xfId="4" applyNumberFormat="1" applyFont="1" applyBorder="1" applyAlignment="1">
      <alignment horizontal="right" vertical="center"/>
    </xf>
    <xf numFmtId="174" fontId="7" fillId="0" borderId="22" xfId="4" applyNumberFormat="1" applyFont="1" applyBorder="1" applyAlignment="1">
      <alignment horizontal="right" vertical="center"/>
    </xf>
    <xf numFmtId="9" fontId="12" fillId="2" borderId="0" xfId="2" applyFont="1" applyFill="1" applyBorder="1"/>
    <xf numFmtId="9" fontId="12" fillId="0" borderId="0" xfId="2" applyFont="1" applyFill="1" applyBorder="1"/>
    <xf numFmtId="3" fontId="12" fillId="2" borderId="8" xfId="4" applyNumberFormat="1" applyFont="1" applyFill="1" applyBorder="1"/>
    <xf numFmtId="3" fontId="7" fillId="0" borderId="2" xfId="4" applyNumberFormat="1" applyFont="1" applyBorder="1"/>
    <xf numFmtId="3" fontId="7" fillId="0" borderId="8" xfId="4" applyNumberFormat="1" applyFont="1" applyBorder="1"/>
    <xf numFmtId="165" fontId="27" fillId="0" borderId="0" xfId="2" applyNumberFormat="1" applyFont="1" applyFill="1" applyBorder="1" applyAlignment="1">
      <alignment horizontal="right" vertical="center"/>
    </xf>
    <xf numFmtId="3" fontId="27" fillId="2" borderId="0" xfId="4" applyNumberFormat="1" applyFont="1" applyFill="1" applyAlignment="1">
      <alignment horizontal="right" vertical="center"/>
    </xf>
    <xf numFmtId="3" fontId="27" fillId="2" borderId="8" xfId="4" applyNumberFormat="1" applyFont="1" applyFill="1" applyBorder="1" applyAlignment="1">
      <alignment horizontal="right" vertical="center"/>
    </xf>
    <xf numFmtId="3" fontId="27" fillId="2" borderId="19" xfId="4" applyNumberFormat="1" applyFont="1" applyFill="1" applyBorder="1" applyAlignment="1">
      <alignment horizontal="right" vertical="center"/>
    </xf>
    <xf numFmtId="0" fontId="7" fillId="0" borderId="8" xfId="4" applyFont="1" applyBorder="1" applyAlignment="1">
      <alignment horizontal="left" wrapText="1" indent="1"/>
    </xf>
    <xf numFmtId="4" fontId="7" fillId="0" borderId="3" xfId="4" applyNumberFormat="1" applyFont="1" applyBorder="1" applyAlignment="1">
      <alignment horizontal="right" vertical="center"/>
    </xf>
    <xf numFmtId="165" fontId="7" fillId="0" borderId="4" xfId="2" applyNumberFormat="1" applyFont="1" applyBorder="1"/>
    <xf numFmtId="0" fontId="7" fillId="0" borderId="4" xfId="4" applyFont="1" applyBorder="1"/>
    <xf numFmtId="2" fontId="7" fillId="0" borderId="0" xfId="4" applyNumberFormat="1" applyFont="1"/>
    <xf numFmtId="41" fontId="7" fillId="2" borderId="0" xfId="4" applyNumberFormat="1" applyFont="1" applyFill="1"/>
    <xf numFmtId="0" fontId="7" fillId="2" borderId="2" xfId="4" applyFont="1" applyFill="1" applyBorder="1"/>
    <xf numFmtId="3" fontId="7" fillId="0" borderId="36" xfId="4" applyNumberFormat="1" applyFont="1" applyBorder="1" applyAlignment="1">
      <alignment horizontal="right" vertical="center"/>
    </xf>
    <xf numFmtId="0" fontId="7" fillId="2" borderId="0" xfId="4" applyFont="1" applyFill="1" applyAlignment="1">
      <alignment horizontal="right" vertical="center"/>
    </xf>
    <xf numFmtId="0" fontId="7" fillId="2" borderId="8" xfId="4" applyFont="1" applyFill="1" applyBorder="1" applyAlignment="1">
      <alignment horizontal="right" vertical="center"/>
    </xf>
    <xf numFmtId="0" fontId="7" fillId="2" borderId="19" xfId="4" applyFont="1" applyFill="1" applyBorder="1" applyAlignment="1">
      <alignment horizontal="right" vertical="center"/>
    </xf>
    <xf numFmtId="175" fontId="7" fillId="0" borderId="8" xfId="4" applyNumberFormat="1" applyFont="1" applyBorder="1" applyAlignment="1">
      <alignment horizontal="right" vertical="center"/>
    </xf>
    <xf numFmtId="175" fontId="7" fillId="0" borderId="0" xfId="4" applyNumberFormat="1" applyFont="1" applyAlignment="1">
      <alignment horizontal="right" vertical="center"/>
    </xf>
    <xf numFmtId="175" fontId="7" fillId="0" borderId="8" xfId="8" applyNumberFormat="1" applyFont="1" applyFill="1" applyBorder="1" applyAlignment="1">
      <alignment horizontal="right" vertical="center" wrapText="1"/>
    </xf>
    <xf numFmtId="175" fontId="7" fillId="0" borderId="0" xfId="8" applyNumberFormat="1" applyFont="1" applyFill="1" applyBorder="1" applyAlignment="1">
      <alignment horizontal="right" vertical="center" wrapText="1"/>
    </xf>
    <xf numFmtId="9" fontId="7" fillId="0" borderId="8" xfId="4" applyNumberFormat="1" applyFont="1" applyBorder="1" applyAlignment="1">
      <alignment wrapText="1"/>
    </xf>
    <xf numFmtId="9" fontId="7" fillId="0" borderId="0" xfId="8" applyNumberFormat="1" applyFont="1" applyFill="1" applyBorder="1" applyAlignment="1">
      <alignment horizontal="right" vertical="center" wrapText="1"/>
    </xf>
    <xf numFmtId="9" fontId="7" fillId="0" borderId="19" xfId="8" applyNumberFormat="1" applyFont="1" applyFill="1" applyBorder="1" applyAlignment="1">
      <alignment horizontal="right" vertical="center" wrapText="1"/>
    </xf>
    <xf numFmtId="175" fontId="7" fillId="0" borderId="19" xfId="8" applyNumberFormat="1" applyFont="1" applyFill="1" applyBorder="1" applyAlignment="1">
      <alignment horizontal="right" vertical="center" wrapText="1"/>
    </xf>
    <xf numFmtId="175" fontId="7" fillId="0" borderId="17" xfId="8" applyNumberFormat="1" applyFont="1" applyFill="1" applyBorder="1" applyAlignment="1">
      <alignment horizontal="right" vertical="center" wrapText="1"/>
    </xf>
    <xf numFmtId="175" fontId="7" fillId="0" borderId="35" xfId="8" applyNumberFormat="1" applyFont="1" applyFill="1" applyBorder="1" applyAlignment="1">
      <alignment horizontal="right" vertical="center" wrapText="1"/>
    </xf>
    <xf numFmtId="175" fontId="7" fillId="0" borderId="10" xfId="8" applyNumberFormat="1" applyFont="1" applyFill="1" applyBorder="1" applyAlignment="1">
      <alignment horizontal="right" vertical="center" wrapText="1"/>
    </xf>
    <xf numFmtId="175" fontId="7" fillId="0" borderId="32" xfId="4" applyNumberFormat="1" applyFont="1" applyBorder="1" applyAlignment="1">
      <alignment horizontal="right" vertical="center"/>
    </xf>
    <xf numFmtId="175" fontId="7" fillId="0" borderId="33" xfId="8" applyNumberFormat="1" applyFont="1" applyFill="1" applyBorder="1" applyAlignment="1">
      <alignment horizontal="right" vertical="center" wrapText="1"/>
    </xf>
    <xf numFmtId="3" fontId="7" fillId="0" borderId="35" xfId="4" applyNumberFormat="1" applyFont="1" applyBorder="1" applyAlignment="1">
      <alignment horizontal="right" vertical="center"/>
    </xf>
    <xf numFmtId="175" fontId="7" fillId="0" borderId="19" xfId="4" applyNumberFormat="1" applyFont="1" applyBorder="1" applyAlignment="1">
      <alignment horizontal="right" vertical="center"/>
    </xf>
    <xf numFmtId="1" fontId="7" fillId="0" borderId="0" xfId="4" applyNumberFormat="1" applyFont="1" applyAlignment="1">
      <alignment horizontal="right" vertical="center"/>
    </xf>
    <xf numFmtId="1" fontId="7" fillId="0" borderId="10" xfId="8" applyNumberFormat="1" applyFont="1" applyFill="1" applyBorder="1" applyAlignment="1">
      <alignment horizontal="right" vertical="center" wrapText="1"/>
    </xf>
    <xf numFmtId="175" fontId="7" fillId="0" borderId="37" xfId="4" applyNumberFormat="1" applyFont="1" applyBorder="1" applyAlignment="1">
      <alignment horizontal="right" vertical="center"/>
    </xf>
    <xf numFmtId="1" fontId="7" fillId="0" borderId="0" xfId="8" applyNumberFormat="1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165" fontId="7" fillId="0" borderId="0" xfId="2" applyNumberFormat="1" applyFont="1" applyFill="1"/>
    <xf numFmtId="165" fontId="7" fillId="0" borderId="4" xfId="2" applyNumberFormat="1" applyFont="1" applyFill="1" applyBorder="1"/>
    <xf numFmtId="4" fontId="7" fillId="0" borderId="0" xfId="4" applyNumberFormat="1" applyFont="1"/>
    <xf numFmtId="9" fontId="7" fillId="0" borderId="0" xfId="2" applyFont="1" applyAlignment="1">
      <alignment horizontal="right" vertical="center"/>
    </xf>
    <xf numFmtId="9" fontId="7" fillId="0" borderId="0" xfId="4" applyNumberFormat="1" applyFont="1" applyAlignment="1">
      <alignment horizontal="right" vertical="center"/>
    </xf>
    <xf numFmtId="9" fontId="7" fillId="0" borderId="3" xfId="4" applyNumberFormat="1" applyFont="1" applyBorder="1" applyAlignment="1">
      <alignment horizontal="right" vertical="center"/>
    </xf>
    <xf numFmtId="9" fontId="7" fillId="0" borderId="17" xfId="4" applyNumberFormat="1" applyFont="1" applyBorder="1" applyAlignment="1">
      <alignment horizontal="right" vertical="center"/>
    </xf>
    <xf numFmtId="9" fontId="7" fillId="0" borderId="22" xfId="4" applyNumberFormat="1" applyFont="1" applyBorder="1" applyAlignment="1">
      <alignment horizontal="right" vertical="center"/>
    </xf>
    <xf numFmtId="0" fontId="7" fillId="0" borderId="0" xfId="4" applyFont="1" applyBorder="1"/>
    <xf numFmtId="0" fontId="7" fillId="2" borderId="0" xfId="4" applyFont="1" applyFill="1" applyBorder="1"/>
    <xf numFmtId="0" fontId="12" fillId="2" borderId="0" xfId="4" applyFont="1" applyFill="1" applyBorder="1"/>
    <xf numFmtId="0" fontId="16" fillId="2" borderId="7" xfId="0" applyFont="1" applyFill="1" applyBorder="1" applyAlignment="1">
      <alignment horizontal="right" vertical="center"/>
    </xf>
    <xf numFmtId="43" fontId="7" fillId="0" borderId="0" xfId="1" applyFont="1" applyFill="1"/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 wrapText="1"/>
    </xf>
  </cellXfs>
  <cellStyles count="9">
    <cellStyle name="Comma" xfId="1" builtinId="3"/>
    <cellStyle name="Comma 2" xfId="6" xr:uid="{7C6682F9-AC25-43CE-95CA-9F57FF7E90DF}"/>
    <cellStyle name="Comma 3" xfId="8" xr:uid="{2208C8B0-0A27-4BEF-8989-BA5828B1CB5D}"/>
    <cellStyle name="Hyperlink" xfId="3" builtinId="8"/>
    <cellStyle name="Normal" xfId="0" builtinId="0"/>
    <cellStyle name="Normal 2" xfId="4" xr:uid="{D7AA8C0C-0BE7-4FA4-BF15-465C3A4E4305}"/>
    <cellStyle name="Normal_Index" xfId="5" xr:uid="{7680A31E-E077-4F8C-96B8-788C51F2059B}"/>
    <cellStyle name="Percent" xfId="2" builtinId="5"/>
    <cellStyle name="Percent 2" xfId="7" xr:uid="{759E2759-621E-40BD-8DB0-6BA18FFC2C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HV%20ER_GRS_v0.7_(23-02-1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Press-release%20pack\ER_GRS_v0.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ER\170214_VIP_EarningsRelease_HFM_2013_for%20IR%20ve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F1B07-E3EE-4D99-8741-7A127942CB34}">
  <sheetPr>
    <pageSetUpPr fitToPage="1"/>
  </sheetPr>
  <dimension ref="A1:AE39"/>
  <sheetViews>
    <sheetView showGridLines="0" view="pageBreakPreview" zoomScale="145" zoomScaleNormal="100" zoomScaleSheetLayoutView="145" workbookViewId="0">
      <selection activeCell="I22" sqref="I22"/>
    </sheetView>
  </sheetViews>
  <sheetFormatPr defaultColWidth="8.81640625" defaultRowHeight="11.5" x14ac:dyDescent="0.25"/>
  <cols>
    <col min="1" max="1" width="44.1796875" style="6" customWidth="1"/>
    <col min="2" max="2" width="14" style="28" customWidth="1"/>
    <col min="3" max="3" width="5.453125" style="6" customWidth="1"/>
    <col min="4" max="4" width="1.26953125" style="6" customWidth="1"/>
    <col min="5" max="5" width="10.7265625" style="6" customWidth="1"/>
    <col min="6" max="6" width="9.7265625" style="6" customWidth="1"/>
    <col min="7" max="7" width="8.453125" style="6" customWidth="1"/>
    <col min="8" max="8" width="1.26953125" style="6" customWidth="1"/>
    <col min="9" max="10" width="9.54296875" style="6" bestFit="1" customWidth="1"/>
    <col min="11" max="12" width="9.1796875" style="6" customWidth="1"/>
    <col min="13" max="16384" width="8.81640625" style="6"/>
  </cols>
  <sheetData>
    <row r="1" spans="1:31" x14ac:dyDescent="0.25">
      <c r="A1" s="1" t="s">
        <v>0</v>
      </c>
      <c r="B1" s="1" t="s">
        <v>1</v>
      </c>
      <c r="C1" s="2"/>
      <c r="D1" s="2"/>
      <c r="E1" s="3"/>
      <c r="F1" s="2"/>
      <c r="G1" s="2"/>
      <c r="H1" s="2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15" customHeight="1" x14ac:dyDescent="0.25">
      <c r="A2" s="7" t="s">
        <v>2</v>
      </c>
      <c r="B2" s="2"/>
      <c r="C2" s="2"/>
      <c r="D2" s="2"/>
      <c r="E2" s="8"/>
      <c r="F2" s="8"/>
      <c r="G2" s="2"/>
      <c r="H2" s="2"/>
      <c r="I2" s="9"/>
      <c r="J2" s="9"/>
      <c r="K2" s="9"/>
      <c r="L2" s="10"/>
      <c r="M2" s="1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1" ht="12" thickBot="1" x14ac:dyDescent="0.3">
      <c r="A3" s="2"/>
      <c r="B3" s="11"/>
      <c r="C3" s="11"/>
      <c r="D3" s="11"/>
      <c r="E3" s="351" t="s">
        <v>3</v>
      </c>
      <c r="F3" s="351"/>
      <c r="G3" s="351"/>
      <c r="H3" s="12"/>
      <c r="I3" s="351" t="s">
        <v>4</v>
      </c>
      <c r="J3" s="351"/>
      <c r="K3" s="351"/>
      <c r="L3" s="13"/>
      <c r="M3" s="14"/>
      <c r="N3" s="14"/>
      <c r="O3" s="14"/>
      <c r="P3" s="10"/>
      <c r="Q3" s="10"/>
    </row>
    <row r="4" spans="1:31" ht="12.5" thickTop="1" thickBot="1" x14ac:dyDescent="0.3">
      <c r="A4" s="7" t="s">
        <v>5</v>
      </c>
      <c r="B4" s="11"/>
      <c r="C4" s="11"/>
      <c r="D4" s="11"/>
      <c r="E4" s="15" t="s">
        <v>6</v>
      </c>
      <c r="F4" s="15" t="s">
        <v>7</v>
      </c>
      <c r="G4" s="15" t="s">
        <v>8</v>
      </c>
      <c r="H4" s="16"/>
      <c r="I4" s="15" t="s">
        <v>6</v>
      </c>
      <c r="J4" s="15" t="s">
        <v>7</v>
      </c>
      <c r="K4" s="17" t="s">
        <v>8</v>
      </c>
      <c r="L4" s="13"/>
      <c r="M4" s="14"/>
      <c r="N4" s="14"/>
      <c r="O4" s="14"/>
      <c r="P4" s="10"/>
      <c r="Q4" s="10"/>
    </row>
    <row r="5" spans="1:31" ht="13" thickTop="1" x14ac:dyDescent="0.25">
      <c r="A5" s="18" t="s">
        <v>5</v>
      </c>
      <c r="B5" s="19" t="s">
        <v>9</v>
      </c>
      <c r="C5" s="19" t="s">
        <v>10</v>
      </c>
      <c r="D5" s="19"/>
      <c r="E5" s="20">
        <v>74.341399999999993</v>
      </c>
      <c r="F5" s="20">
        <v>66.381799999999998</v>
      </c>
      <c r="G5" s="21">
        <f t="shared" ref="G5:G15" si="0">-(E5-F5)/F5</f>
        <v>-0.11990635987574901</v>
      </c>
      <c r="H5" s="22"/>
      <c r="I5" s="20">
        <v>75.702299999999994</v>
      </c>
      <c r="J5" s="20">
        <v>77.732500000000002</v>
      </c>
      <c r="K5" s="21">
        <f t="shared" ref="K5:K15" si="1">-(I5-J5)/J5</f>
        <v>2.6117775705142735E-2</v>
      </c>
      <c r="L5" s="13"/>
      <c r="M5" s="14"/>
      <c r="N5" s="14"/>
      <c r="O5" s="14"/>
      <c r="P5" s="10"/>
      <c r="Q5" s="10"/>
    </row>
    <row r="6" spans="1:31" ht="12.5" x14ac:dyDescent="0.25">
      <c r="A6" s="18" t="s">
        <v>11</v>
      </c>
      <c r="B6" s="19" t="s">
        <v>12</v>
      </c>
      <c r="C6" s="19" t="s">
        <v>13</v>
      </c>
      <c r="D6" s="19"/>
      <c r="E6" s="20">
        <v>0.82989999999999997</v>
      </c>
      <c r="F6" s="20">
        <v>0.90690000000000004</v>
      </c>
      <c r="G6" s="21">
        <f t="shared" si="0"/>
        <v>8.4904620134524281E-2</v>
      </c>
      <c r="H6" s="22"/>
      <c r="I6" s="20">
        <v>0.85250000000000004</v>
      </c>
      <c r="J6" s="20">
        <v>0.90639999999999998</v>
      </c>
      <c r="K6" s="21">
        <f t="shared" si="1"/>
        <v>5.9466019417475674E-2</v>
      </c>
      <c r="L6" s="13"/>
      <c r="M6" s="14"/>
      <c r="N6" s="14"/>
      <c r="O6" s="14"/>
      <c r="P6" s="10"/>
      <c r="Q6" s="10"/>
      <c r="R6" s="10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5" x14ac:dyDescent="0.25">
      <c r="A7" s="18" t="s">
        <v>14</v>
      </c>
      <c r="B7" s="19" t="s">
        <v>15</v>
      </c>
      <c r="C7" s="19" t="s">
        <v>16</v>
      </c>
      <c r="D7" s="19"/>
      <c r="E7" s="20">
        <v>133.06139999999999</v>
      </c>
      <c r="F7" s="20">
        <v>120.5479</v>
      </c>
      <c r="G7" s="21">
        <f t="shared" si="0"/>
        <v>-0.10380520938149893</v>
      </c>
      <c r="H7" s="22"/>
      <c r="I7" s="20">
        <v>133.94630000000001</v>
      </c>
      <c r="J7" s="20">
        <v>124.7086</v>
      </c>
      <c r="K7" s="21">
        <f t="shared" si="1"/>
        <v>-7.407428196611944E-2</v>
      </c>
      <c r="L7" s="13"/>
      <c r="M7" s="14"/>
      <c r="N7" s="14"/>
      <c r="O7" s="14"/>
      <c r="P7" s="10"/>
      <c r="Q7" s="10"/>
      <c r="R7" s="10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 customHeight="1" x14ac:dyDescent="0.25">
      <c r="A8" s="18" t="s">
        <v>17</v>
      </c>
      <c r="B8" s="19" t="s">
        <v>18</v>
      </c>
      <c r="C8" s="19" t="s">
        <v>19</v>
      </c>
      <c r="D8" s="19"/>
      <c r="E8" s="20">
        <v>158.6129</v>
      </c>
      <c r="F8" s="20">
        <v>155.5814</v>
      </c>
      <c r="G8" s="21">
        <f t="shared" si="0"/>
        <v>-1.9484976995964774E-2</v>
      </c>
      <c r="H8" s="22"/>
      <c r="I8" s="20">
        <v>152.8647</v>
      </c>
      <c r="J8" s="20">
        <v>166.25</v>
      </c>
      <c r="K8" s="21">
        <f t="shared" si="1"/>
        <v>8.0513082706766922E-2</v>
      </c>
      <c r="L8" s="13"/>
      <c r="M8" s="14"/>
      <c r="N8" s="14"/>
      <c r="O8" s="14"/>
      <c r="P8" s="10"/>
      <c r="Q8" s="10"/>
      <c r="R8" s="10"/>
    </row>
    <row r="9" spans="1:31" ht="12.5" x14ac:dyDescent="0.25">
      <c r="A9" s="18" t="s">
        <v>20</v>
      </c>
      <c r="B9" s="19" t="s">
        <v>21</v>
      </c>
      <c r="C9" s="19" t="s">
        <v>22</v>
      </c>
      <c r="D9" s="19"/>
      <c r="E9" s="20">
        <v>84.725499999999997</v>
      </c>
      <c r="F9" s="20">
        <v>84.906499999999994</v>
      </c>
      <c r="G9" s="21">
        <f t="shared" si="0"/>
        <v>2.1317566970726317E-3</v>
      </c>
      <c r="H9" s="22"/>
      <c r="I9" s="20">
        <v>84.710400000000007</v>
      </c>
      <c r="J9" s="20">
        <v>84.9375</v>
      </c>
      <c r="K9" s="21">
        <f t="shared" si="1"/>
        <v>2.6737306843266279E-3</v>
      </c>
      <c r="L9" s="13"/>
      <c r="M9" s="14"/>
      <c r="N9" s="14" t="s">
        <v>23</v>
      </c>
      <c r="O9" s="14"/>
      <c r="P9" s="10"/>
      <c r="Q9" s="10"/>
      <c r="R9" s="10"/>
    </row>
    <row r="10" spans="1:31" ht="15" customHeight="1" x14ac:dyDescent="0.25">
      <c r="A10" s="18" t="s">
        <v>24</v>
      </c>
      <c r="B10" s="19" t="s">
        <v>25</v>
      </c>
      <c r="C10" s="19" t="s">
        <v>26</v>
      </c>
      <c r="D10" s="19"/>
      <c r="E10" s="20">
        <v>27.9694</v>
      </c>
      <c r="F10" s="20">
        <v>25.052499999999998</v>
      </c>
      <c r="G10" s="21">
        <f t="shared" si="0"/>
        <v>-0.11643149386288802</v>
      </c>
      <c r="H10" s="22"/>
      <c r="I10" s="20">
        <v>27.885200000000001</v>
      </c>
      <c r="J10" s="20">
        <v>28.061499999999999</v>
      </c>
      <c r="K10" s="21">
        <f t="shared" si="1"/>
        <v>6.2826292250947983E-3</v>
      </c>
      <c r="L10" s="13"/>
      <c r="M10" s="14"/>
      <c r="N10" s="14"/>
      <c r="O10" s="14"/>
      <c r="P10" s="10"/>
      <c r="Q10" s="10"/>
      <c r="R10" s="10"/>
    </row>
    <row r="11" spans="1:31" ht="12.5" x14ac:dyDescent="0.25">
      <c r="A11" s="18" t="s">
        <v>27</v>
      </c>
      <c r="B11" s="19" t="s">
        <v>28</v>
      </c>
      <c r="C11" s="19" t="s">
        <v>29</v>
      </c>
      <c r="D11" s="19"/>
      <c r="E11" s="20">
        <v>419.89400000000001</v>
      </c>
      <c r="F11" s="20">
        <v>391.00790000000001</v>
      </c>
      <c r="G11" s="21">
        <f t="shared" si="0"/>
        <v>-7.3876000970824376E-2</v>
      </c>
      <c r="H11" s="22"/>
      <c r="I11" s="20">
        <v>424.34</v>
      </c>
      <c r="J11" s="20">
        <v>448.01</v>
      </c>
      <c r="K11" s="21">
        <f t="shared" si="1"/>
        <v>5.2833642106203026E-2</v>
      </c>
      <c r="L11" s="13"/>
      <c r="M11" s="14"/>
      <c r="N11" s="14"/>
      <c r="O11" s="14"/>
      <c r="P11" s="10"/>
      <c r="Q11" s="10"/>
      <c r="R11" s="10"/>
    </row>
    <row r="12" spans="1:31" ht="13.5" customHeight="1" x14ac:dyDescent="0.25">
      <c r="A12" s="18" t="s">
        <v>30</v>
      </c>
      <c r="B12" s="19" t="s">
        <v>31</v>
      </c>
      <c r="C12" s="19" t="s">
        <v>32</v>
      </c>
      <c r="D12" s="19"/>
      <c r="E12" s="20">
        <v>10506.1266</v>
      </c>
      <c r="F12" s="20">
        <v>9529.5856999999996</v>
      </c>
      <c r="G12" s="21">
        <f t="shared" si="0"/>
        <v>-0.10247464378225803</v>
      </c>
      <c r="H12" s="22"/>
      <c r="I12" s="20">
        <v>10474.98</v>
      </c>
      <c r="J12" s="20">
        <v>9554.2199999999993</v>
      </c>
      <c r="K12" s="21">
        <f t="shared" si="1"/>
        <v>-9.6372074329458629E-2</v>
      </c>
      <c r="L12" s="13"/>
      <c r="M12" s="14"/>
      <c r="N12" s="14"/>
      <c r="O12" s="14"/>
      <c r="P12" s="10"/>
      <c r="Q12" s="10"/>
      <c r="R12" s="10"/>
    </row>
    <row r="13" spans="1:31" ht="13.5" customHeight="1" x14ac:dyDescent="0.25">
      <c r="A13" s="23"/>
      <c r="B13" s="19" t="s">
        <v>33</v>
      </c>
      <c r="C13" s="19" t="s">
        <v>34</v>
      </c>
      <c r="D13" s="19"/>
      <c r="E13" s="20">
        <v>524.20420000000001</v>
      </c>
      <c r="F13" s="20">
        <v>482.38799999999998</v>
      </c>
      <c r="G13" s="21">
        <f t="shared" si="0"/>
        <v>-8.6685821372007671E-2</v>
      </c>
      <c r="H13" s="22"/>
      <c r="I13" s="20">
        <v>531.16999999999996</v>
      </c>
      <c r="J13" s="20">
        <v>504.47</v>
      </c>
      <c r="K13" s="21">
        <f t="shared" si="1"/>
        <v>-5.2926834103117985E-2</v>
      </c>
      <c r="M13" s="14"/>
      <c r="N13" s="14"/>
      <c r="O13" s="14"/>
      <c r="P13" s="10"/>
      <c r="Q13" s="10"/>
      <c r="R13" s="10"/>
    </row>
    <row r="14" spans="1:31" ht="13.5" customHeight="1" x14ac:dyDescent="0.25">
      <c r="A14" s="2"/>
      <c r="B14" s="19" t="s">
        <v>35</v>
      </c>
      <c r="C14" s="19" t="s">
        <v>36</v>
      </c>
      <c r="D14" s="19"/>
      <c r="E14" s="20">
        <v>84.495999999999995</v>
      </c>
      <c r="F14" s="20">
        <v>71.418899999999994</v>
      </c>
      <c r="G14" s="21">
        <f t="shared" si="0"/>
        <v>-0.1831041923076385</v>
      </c>
      <c r="H14" s="22"/>
      <c r="I14" s="20">
        <v>84.779200000000003</v>
      </c>
      <c r="J14" s="20">
        <v>80.81</v>
      </c>
      <c r="K14" s="21">
        <f t="shared" si="1"/>
        <v>-4.9117683455017949E-2</v>
      </c>
      <c r="L14" s="13"/>
      <c r="M14" s="14"/>
      <c r="N14" s="14"/>
      <c r="O14" s="14"/>
      <c r="P14" s="10"/>
      <c r="Q14" s="10"/>
      <c r="R14" s="10"/>
    </row>
    <row r="15" spans="1:31" ht="13.5" customHeight="1" thickBot="1" x14ac:dyDescent="0.3">
      <c r="A15" s="2"/>
      <c r="B15" s="19" t="s">
        <v>37</v>
      </c>
      <c r="C15" s="19" t="s">
        <v>38</v>
      </c>
      <c r="D15" s="19"/>
      <c r="E15" s="24">
        <v>3.3142</v>
      </c>
      <c r="F15" s="24">
        <v>2.9266999999999999</v>
      </c>
      <c r="G15" s="21">
        <f t="shared" si="0"/>
        <v>-0.13240168107424752</v>
      </c>
      <c r="H15" s="22"/>
      <c r="I15" s="24">
        <v>3.4117999999999999</v>
      </c>
      <c r="J15" s="24">
        <v>3.2845</v>
      </c>
      <c r="K15" s="25">
        <f t="shared" si="1"/>
        <v>-3.8757801796316022E-2</v>
      </c>
      <c r="L15" s="13"/>
      <c r="M15" s="14"/>
      <c r="N15" s="14"/>
      <c r="O15" s="14"/>
      <c r="P15" s="10"/>
      <c r="Q15" s="10"/>
      <c r="R15" s="10"/>
    </row>
    <row r="16" spans="1:31" ht="13.5" customHeight="1" thickTop="1" x14ac:dyDescent="0.25">
      <c r="A16" s="2"/>
      <c r="B16" s="26"/>
      <c r="C16" s="2"/>
      <c r="D16" s="2"/>
      <c r="E16" s="2"/>
      <c r="F16" s="2"/>
      <c r="G16" s="27"/>
      <c r="H16" s="2"/>
      <c r="I16" s="2"/>
      <c r="J16" s="2"/>
      <c r="K16" s="2"/>
      <c r="L16" s="13"/>
      <c r="M16" s="14"/>
      <c r="N16" s="14"/>
      <c r="O16" s="14"/>
      <c r="P16" s="10"/>
      <c r="Q16" s="10"/>
      <c r="R16" s="10"/>
    </row>
    <row r="17" spans="1:13" ht="13.5" customHeight="1" x14ac:dyDescent="0.25">
      <c r="B17" s="26"/>
      <c r="C17" s="2"/>
      <c r="D17" s="2"/>
      <c r="E17" s="2"/>
      <c r="F17" s="2"/>
      <c r="G17" s="2"/>
      <c r="H17" s="2"/>
      <c r="I17" s="2"/>
      <c r="J17" s="2"/>
      <c r="K17" s="2"/>
      <c r="L17" s="10"/>
      <c r="M17" s="10"/>
    </row>
    <row r="18" spans="1:13" ht="13.5" customHeight="1" x14ac:dyDescent="0.25">
      <c r="I18" s="14"/>
      <c r="J18" s="14"/>
      <c r="K18" s="14"/>
      <c r="L18" s="10"/>
      <c r="M18" s="10"/>
    </row>
    <row r="19" spans="1:13" ht="13.5" customHeight="1" x14ac:dyDescent="0.25">
      <c r="I19" s="14"/>
      <c r="J19" s="14"/>
      <c r="K19" s="14"/>
      <c r="L19" s="10"/>
      <c r="M19" s="10"/>
    </row>
    <row r="20" spans="1:13" ht="13.5" customHeight="1" x14ac:dyDescent="0.25">
      <c r="I20" s="14"/>
      <c r="J20" s="14"/>
      <c r="K20" s="14"/>
      <c r="L20" s="10"/>
      <c r="M20" s="10"/>
    </row>
    <row r="21" spans="1:13" ht="13.5" customHeight="1" x14ac:dyDescent="0.25"/>
    <row r="22" spans="1:13" ht="13.5" customHeight="1" x14ac:dyDescent="0.25"/>
    <row r="23" spans="1:13" ht="13.5" customHeight="1" x14ac:dyDescent="0.25"/>
    <row r="24" spans="1:13" ht="13.5" customHeight="1" x14ac:dyDescent="0.25"/>
    <row r="25" spans="1:13" ht="13.5" customHeight="1" x14ac:dyDescent="0.25"/>
    <row r="26" spans="1:13" ht="13.5" customHeight="1" x14ac:dyDescent="0.25"/>
    <row r="28" spans="1:13" x14ac:dyDescent="0.25">
      <c r="A28" s="5"/>
    </row>
    <row r="29" spans="1:13" x14ac:dyDescent="0.25">
      <c r="A29" s="5"/>
    </row>
    <row r="38" spans="2:2" x14ac:dyDescent="0.25">
      <c r="B38" s="29"/>
    </row>
    <row r="39" spans="2:2" x14ac:dyDescent="0.25">
      <c r="B39" s="29"/>
    </row>
  </sheetData>
  <mergeCells count="2">
    <mergeCell ref="E3:G3"/>
    <mergeCell ref="I3:K3"/>
  </mergeCells>
  <hyperlinks>
    <hyperlink ref="A7" location="Russia!A1" display="Russia" xr:uid="{03B7116B-6C79-401B-8028-3F4E64561270}"/>
    <hyperlink ref="A9" location="Algeria!A1" display="Algeria" xr:uid="{FAC9225B-B432-4895-8E0F-C7CDF481A908}"/>
    <hyperlink ref="A10" location="Bangladesh!A1" display="Bangladesh" xr:uid="{5844C15E-F07D-4F60-8AAF-7998315DF13A}"/>
    <hyperlink ref="A11" location="Ukraine!A1" display="Ukraine" xr:uid="{E6BC4E54-6600-4147-9D35-2BCDCC69B537}"/>
    <hyperlink ref="A8" location="Pakistan!A1" display="Pakistan" xr:uid="{1AC3E3BB-1996-49C4-B03D-268D2B82B77B}"/>
    <hyperlink ref="A5" location="'Consolidated VEON '!A1" display="Consolidated VEON" xr:uid="{B0F9C00B-66F6-45A4-BD1A-3F2E03AEFF82}"/>
    <hyperlink ref="A6" location="Customers!A1" display="Customers" xr:uid="{7B82A7B3-B0DD-49C1-94FB-3BFC0003645B}"/>
    <hyperlink ref="A12" location="Uzbekistan!Print_Area" display="Uzbekistan" xr:uid="{75256EAA-9193-42EF-95B9-FDF68AAA7A57}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210D7-69E3-48F5-8A76-0A737AC29CAD}">
  <sheetPr>
    <pageSetUpPr fitToPage="1"/>
  </sheetPr>
  <dimension ref="B1:AM67"/>
  <sheetViews>
    <sheetView showGridLines="0" view="pageBreakPreview" zoomScale="85" zoomScaleNormal="90" zoomScaleSheetLayoutView="85" workbookViewId="0">
      <pane xSplit="2" ySplit="4" topLeftCell="C29" activePane="bottomRight" state="frozen"/>
      <selection activeCell="K31" sqref="K31"/>
      <selection pane="topRight" activeCell="K31" sqref="K31"/>
      <selection pane="bottomLeft" activeCell="K31" sqref="K31"/>
      <selection pane="bottomRight" activeCell="O11" sqref="O11"/>
    </sheetView>
  </sheetViews>
  <sheetFormatPr defaultColWidth="9.1796875" defaultRowHeight="11.5" outlineLevelCol="1" x14ac:dyDescent="0.25"/>
  <cols>
    <col min="1" max="1" width="1.26953125" style="141" customWidth="1"/>
    <col min="2" max="2" width="55.7265625" style="141" customWidth="1"/>
    <col min="3" max="14" width="10.54296875" style="141" hidden="1" customWidth="1" outlineLevel="1"/>
    <col min="15" max="15" width="10.54296875" style="141" customWidth="1" collapsed="1"/>
    <col min="16" max="31" width="10.54296875" style="141" customWidth="1"/>
    <col min="32" max="33" width="10.54296875" style="141" hidden="1" customWidth="1" outlineLevel="1"/>
    <col min="34" max="34" width="9.1796875" style="141" hidden="1" customWidth="1" outlineLevel="1"/>
    <col min="35" max="35" width="9.1796875" style="141" customWidth="1" collapsed="1"/>
    <col min="36" max="37" width="9.1796875" style="141" customWidth="1"/>
    <col min="38" max="169" width="9.1796875" style="141"/>
    <col min="170" max="170" width="55.7265625" style="141" customWidth="1"/>
    <col min="171" max="178" width="9.7265625" style="141" customWidth="1"/>
    <col min="179" max="16384" width="9.1796875" style="141"/>
  </cols>
  <sheetData>
    <row r="1" spans="2:39" x14ac:dyDescent="0.25">
      <c r="B1" s="30" t="s">
        <v>95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</row>
    <row r="2" spans="2:39" x14ac:dyDescent="0.25">
      <c r="B2" s="34" t="s">
        <v>39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</row>
    <row r="3" spans="2:39" ht="12" thickBot="1" x14ac:dyDescent="0.3">
      <c r="B3" s="36" t="s">
        <v>40</v>
      </c>
      <c r="C3" s="82"/>
      <c r="D3" s="82"/>
      <c r="E3" s="82"/>
      <c r="F3" s="82"/>
      <c r="G3" s="82"/>
      <c r="H3" s="82"/>
      <c r="I3" s="82"/>
      <c r="J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2:39" s="82" customFormat="1" ht="12.5" thickTop="1" thickBot="1" x14ac:dyDescent="0.3">
      <c r="B4" s="38" t="s">
        <v>99</v>
      </c>
      <c r="C4" s="43" t="s">
        <v>92</v>
      </c>
      <c r="D4" s="43" t="s">
        <v>93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180" t="s">
        <v>7</v>
      </c>
      <c r="AB4" s="180" t="s">
        <v>63</v>
      </c>
      <c r="AC4" s="180" t="s">
        <v>64</v>
      </c>
      <c r="AD4" s="180" t="s">
        <v>65</v>
      </c>
      <c r="AE4" s="180" t="s">
        <v>6</v>
      </c>
      <c r="AF4" s="134" t="s">
        <v>94</v>
      </c>
      <c r="AG4" s="43" t="s">
        <v>67</v>
      </c>
      <c r="AH4" s="43" t="s">
        <v>68</v>
      </c>
      <c r="AI4" s="43" t="s">
        <v>69</v>
      </c>
      <c r="AJ4" s="43" t="s">
        <v>55</v>
      </c>
      <c r="AK4" s="43" t="s">
        <v>70</v>
      </c>
      <c r="AL4" s="44" t="s">
        <v>71</v>
      </c>
    </row>
    <row r="5" spans="2:39" s="30" customFormat="1" x14ac:dyDescent="0.25">
      <c r="B5" s="135" t="s">
        <v>72</v>
      </c>
      <c r="C5" s="132">
        <v>81.150351639999997</v>
      </c>
      <c r="D5" s="132">
        <v>89.875520290000011</v>
      </c>
      <c r="E5" s="132">
        <v>97.317678639999997</v>
      </c>
      <c r="F5" s="132">
        <v>95.761101289999985</v>
      </c>
      <c r="G5" s="132">
        <v>94.53110294999999</v>
      </c>
      <c r="H5" s="132">
        <v>105.37882861999998</v>
      </c>
      <c r="I5" s="132">
        <v>107.97808045000002</v>
      </c>
      <c r="J5" s="132">
        <v>107.89169172</v>
      </c>
      <c r="K5" s="132">
        <v>109.58925669</v>
      </c>
      <c r="L5" s="132">
        <v>111.86566600999998</v>
      </c>
      <c r="M5" s="132">
        <v>110.08031613000001</v>
      </c>
      <c r="N5" s="132">
        <v>108.98746996999999</v>
      </c>
      <c r="O5" s="132">
        <v>103.23046522999999</v>
      </c>
      <c r="P5" s="132"/>
      <c r="Q5" s="132">
        <f>O5</f>
        <v>103.23046522999999</v>
      </c>
      <c r="R5" s="132">
        <v>149.76121417999997</v>
      </c>
      <c r="S5" s="132"/>
      <c r="T5" s="138">
        <f>R5</f>
        <v>149.76121417999997</v>
      </c>
      <c r="U5" s="132">
        <v>115.4464244</v>
      </c>
      <c r="V5" s="132"/>
      <c r="W5" s="132">
        <f>U5</f>
        <v>115.4464244</v>
      </c>
      <c r="X5" s="132">
        <v>117.63366119999999</v>
      </c>
      <c r="Y5" s="132"/>
      <c r="Z5" s="132">
        <f>X5</f>
        <v>117.63366119999999</v>
      </c>
      <c r="AA5" s="132">
        <v>117.70371950999998</v>
      </c>
      <c r="AB5" s="132">
        <v>111.11389645999999</v>
      </c>
      <c r="AC5" s="132">
        <v>121.88593243000001</v>
      </c>
      <c r="AD5" s="132">
        <v>127.94055587000001</v>
      </c>
      <c r="AE5" s="132">
        <v>127.89777257999999</v>
      </c>
      <c r="AF5" s="137">
        <f>SUM(C5:F5)</f>
        <v>364.10465185999999</v>
      </c>
      <c r="AG5" s="132">
        <f>SUM(G5:J5)</f>
        <v>415.77970374</v>
      </c>
      <c r="AH5" s="132">
        <f>SUM(K5:N5)</f>
        <v>440.52270880000003</v>
      </c>
      <c r="AI5" s="138">
        <f>SUM(O5,R5,U5,X5)</f>
        <v>486.07176500999998</v>
      </c>
      <c r="AJ5" s="138"/>
      <c r="AK5" s="132">
        <f>AI5</f>
        <v>486.07176500999998</v>
      </c>
      <c r="AL5" s="140">
        <f>SUM(AA5:AD5)</f>
        <v>478.64410427000001</v>
      </c>
      <c r="AM5" s="284"/>
    </row>
    <row r="6" spans="2:39" s="30" customFormat="1" x14ac:dyDescent="0.25">
      <c r="B6" s="135" t="s">
        <v>74</v>
      </c>
      <c r="C6" s="132">
        <v>31.380219339999996</v>
      </c>
      <c r="D6" s="132">
        <v>35.860564870000005</v>
      </c>
      <c r="E6" s="132">
        <v>47.200657760000006</v>
      </c>
      <c r="F6" s="132">
        <v>46.438902590000005</v>
      </c>
      <c r="G6" s="132">
        <v>41.406359789999989</v>
      </c>
      <c r="H6" s="132">
        <v>48.338057359999986</v>
      </c>
      <c r="I6" s="132">
        <v>44.004524170000003</v>
      </c>
      <c r="J6" s="132">
        <v>46.012719850000003</v>
      </c>
      <c r="K6" s="132">
        <v>50.277153529999985</v>
      </c>
      <c r="L6" s="132">
        <v>51.102185840000004</v>
      </c>
      <c r="M6" s="132">
        <v>52.864555470000013</v>
      </c>
      <c r="N6" s="132">
        <v>51.86675769</v>
      </c>
      <c r="O6" s="132">
        <v>55.287210929999993</v>
      </c>
      <c r="P6" s="132">
        <v>4.1307109607755601</v>
      </c>
      <c r="Q6" s="132">
        <f>O6-P6</f>
        <v>51.156499969224434</v>
      </c>
      <c r="R6" s="132">
        <v>96.901929179999996</v>
      </c>
      <c r="S6" s="132">
        <v>4.1694810896064753</v>
      </c>
      <c r="T6" s="132">
        <f>R6-S6</f>
        <v>92.732448090393518</v>
      </c>
      <c r="U6" s="132">
        <v>59.51847962999998</v>
      </c>
      <c r="V6" s="132">
        <v>4.220852259754067</v>
      </c>
      <c r="W6" s="132">
        <f>U6-V6</f>
        <v>55.297627370245912</v>
      </c>
      <c r="X6" s="132">
        <v>58.789286509999997</v>
      </c>
      <c r="Y6" s="132">
        <v>4.2714908099961271</v>
      </c>
      <c r="Z6" s="132">
        <f>X6-Y6</f>
        <v>54.517795700003873</v>
      </c>
      <c r="AA6" s="132">
        <v>63.04447566999999</v>
      </c>
      <c r="AB6" s="132">
        <v>60.783303209999993</v>
      </c>
      <c r="AC6" s="132">
        <v>64.446642850000003</v>
      </c>
      <c r="AD6" s="132">
        <v>76.390317290000013</v>
      </c>
      <c r="AE6" s="132">
        <v>65.919242969999999</v>
      </c>
      <c r="AF6" s="137">
        <f>SUM(C6:F6)</f>
        <v>160.88034456</v>
      </c>
      <c r="AG6" s="132">
        <f>SUM(G6:J6)</f>
        <v>179.76166116999997</v>
      </c>
      <c r="AH6" s="132">
        <f>SUM(K6:N6)</f>
        <v>206.11065252999998</v>
      </c>
      <c r="AI6" s="132">
        <f>SUM(O6,R6,U6,X6)</f>
        <v>270.49690624999994</v>
      </c>
      <c r="AJ6" s="132">
        <f>SUM(P6,S6,V6,Y6)</f>
        <v>16.792535120132229</v>
      </c>
      <c r="AK6" s="132">
        <f>AI6-AJ6</f>
        <v>253.7043711298677</v>
      </c>
      <c r="AL6" s="140">
        <f>SUM(AA6:AD6)</f>
        <v>264.66473901999996</v>
      </c>
      <c r="AM6" s="284"/>
    </row>
    <row r="7" spans="2:39" s="30" customFormat="1" x14ac:dyDescent="0.25">
      <c r="B7" s="135" t="s">
        <v>75</v>
      </c>
      <c r="C7" s="143">
        <f t="shared" ref="C7:O7" si="0">C6/C5</f>
        <v>0.38669233966119138</v>
      </c>
      <c r="D7" s="143">
        <f t="shared" si="0"/>
        <v>0.3990025843999484</v>
      </c>
      <c r="E7" s="143">
        <f t="shared" si="0"/>
        <v>0.48501627268161485</v>
      </c>
      <c r="F7" s="143">
        <f t="shared" si="0"/>
        <v>0.48494536888590967</v>
      </c>
      <c r="G7" s="143">
        <f t="shared" si="0"/>
        <v>0.43801837170884289</v>
      </c>
      <c r="H7" s="143">
        <f t="shared" si="0"/>
        <v>0.45870748415992402</v>
      </c>
      <c r="I7" s="143">
        <f t="shared" si="0"/>
        <v>0.40753201007658768</v>
      </c>
      <c r="J7" s="143">
        <f t="shared" si="0"/>
        <v>0.42647139104475251</v>
      </c>
      <c r="K7" s="143">
        <f t="shared" si="0"/>
        <v>0.45877812340876811</v>
      </c>
      <c r="L7" s="143">
        <f t="shared" si="0"/>
        <v>0.45681742810552645</v>
      </c>
      <c r="M7" s="143">
        <f t="shared" si="0"/>
        <v>0.48023622504471458</v>
      </c>
      <c r="N7" s="143">
        <f t="shared" si="0"/>
        <v>0.47589652007039801</v>
      </c>
      <c r="O7" s="143">
        <f t="shared" si="0"/>
        <v>0.53557068455342849</v>
      </c>
      <c r="P7" s="143"/>
      <c r="Q7" s="143">
        <f>Q6/Q5</f>
        <v>0.49555622804998994</v>
      </c>
      <c r="R7" s="143">
        <f t="shared" ref="R7" si="1">R6/R5</f>
        <v>0.64704289231744805</v>
      </c>
      <c r="S7" s="143"/>
      <c r="T7" s="143">
        <f>T6/T5</f>
        <v>0.61920203170186083</v>
      </c>
      <c r="U7" s="143">
        <f t="shared" ref="U7" si="2">U6/U5</f>
        <v>0.51555065424789359</v>
      </c>
      <c r="V7" s="143"/>
      <c r="W7" s="143">
        <f>W6/W5</f>
        <v>0.47898951966368492</v>
      </c>
      <c r="X7" s="143">
        <f t="shared" ref="X7" si="3">X6/X5</f>
        <v>0.49976584856988199</v>
      </c>
      <c r="Y7" s="143"/>
      <c r="Z7" s="143">
        <f>Z6/Z5</f>
        <v>0.4634540415035886</v>
      </c>
      <c r="AA7" s="143">
        <f t="shared" ref="AA7:AE7" si="4">AA6/AA5</f>
        <v>0.53562008008288808</v>
      </c>
      <c r="AB7" s="143">
        <f t="shared" si="4"/>
        <v>0.54703601571457294</v>
      </c>
      <c r="AC7" s="143">
        <f t="shared" si="4"/>
        <v>0.5287455374475819</v>
      </c>
      <c r="AD7" s="143">
        <f t="shared" si="4"/>
        <v>0.59707664055813525</v>
      </c>
      <c r="AE7" s="143">
        <f t="shared" si="4"/>
        <v>0.51540571536355373</v>
      </c>
      <c r="AF7" s="144">
        <f>AF6/AF5</f>
        <v>0.44185193388262251</v>
      </c>
      <c r="AG7" s="143">
        <f>AG6/AG5</f>
        <v>0.43234833146740259</v>
      </c>
      <c r="AH7" s="143">
        <f>AH6/AH5</f>
        <v>0.46787747467424085</v>
      </c>
      <c r="AI7" s="143">
        <f>AI6/AI5</f>
        <v>0.55649582164978251</v>
      </c>
      <c r="AJ7" s="143"/>
      <c r="AK7" s="143">
        <f t="shared" ref="AK7" si="5">AK6/AK5</f>
        <v>0.52194838168526048</v>
      </c>
      <c r="AL7" s="145">
        <f>AL6/AL5</f>
        <v>0.55294682763020997</v>
      </c>
    </row>
    <row r="8" spans="2:39" s="30" customFormat="1" x14ac:dyDescent="0.25">
      <c r="B8" s="135" t="s">
        <v>81</v>
      </c>
      <c r="C8" s="132">
        <v>49.634919760426918</v>
      </c>
      <c r="D8" s="132">
        <v>53.239911147200345</v>
      </c>
      <c r="E8" s="132">
        <v>14.422367762417426</v>
      </c>
      <c r="F8" s="132">
        <v>34.92703253004624</v>
      </c>
      <c r="G8" s="132">
        <v>10.476738821286064</v>
      </c>
      <c r="H8" s="132">
        <v>18.078045663670974</v>
      </c>
      <c r="I8" s="132">
        <v>14.37535737536712</v>
      </c>
      <c r="J8" s="132">
        <v>32.519746664710389</v>
      </c>
      <c r="K8" s="132">
        <v>13.642210207211042</v>
      </c>
      <c r="L8" s="132">
        <v>16.214622028146913</v>
      </c>
      <c r="M8" s="132">
        <v>18.655762093215479</v>
      </c>
      <c r="N8" s="132">
        <v>17.45741426339729</v>
      </c>
      <c r="O8" s="132">
        <v>12.53017706374248</v>
      </c>
      <c r="P8" s="132">
        <v>1.2995688631174855</v>
      </c>
      <c r="Q8" s="132">
        <f>O8-P8</f>
        <v>11.230608200624994</v>
      </c>
      <c r="R8" s="132">
        <v>61.425975726843305</v>
      </c>
      <c r="S8" s="132">
        <v>19.492253437075881</v>
      </c>
      <c r="T8" s="132">
        <f>R8-S8</f>
        <v>41.933722289767424</v>
      </c>
      <c r="U8" s="132">
        <v>19.036651363639695</v>
      </c>
      <c r="V8" s="132">
        <v>-15.826054580304342</v>
      </c>
      <c r="W8" s="132">
        <f>U8-V8</f>
        <v>34.862705943944036</v>
      </c>
      <c r="X8" s="132">
        <v>33.495715701902434</v>
      </c>
      <c r="Y8" s="132">
        <v>1.0388952554233994</v>
      </c>
      <c r="Z8" s="132">
        <f>X8-Y8</f>
        <v>32.456820446479036</v>
      </c>
      <c r="AA8" s="132">
        <v>44.896496385224225</v>
      </c>
      <c r="AB8" s="132">
        <v>29.552210868959335</v>
      </c>
      <c r="AC8" s="132">
        <v>19.612375487295886</v>
      </c>
      <c r="AD8" s="132">
        <v>52.709636362795685</v>
      </c>
      <c r="AE8" s="132">
        <v>21.833885491938471</v>
      </c>
      <c r="AF8" s="137">
        <f>SUM(C8:F8)</f>
        <v>152.22423120009091</v>
      </c>
      <c r="AG8" s="132">
        <f>SUM(G8:J8)</f>
        <v>75.449888525034538</v>
      </c>
      <c r="AH8" s="132">
        <f>SUM(K8:N8)</f>
        <v>65.970008591970725</v>
      </c>
      <c r="AI8" s="132">
        <f>SUM(O8,R8,U8,X8)</f>
        <v>126.48851985612791</v>
      </c>
      <c r="AJ8" s="132">
        <f>SUM(P8,S8,V8,Y8)</f>
        <v>6.0046629753124243</v>
      </c>
      <c r="AK8" s="132">
        <f>AI8-AJ8</f>
        <v>120.48385688081548</v>
      </c>
      <c r="AL8" s="140">
        <f>SUM(AA8:AD8)</f>
        <v>146.77071910427514</v>
      </c>
      <c r="AM8" s="284"/>
    </row>
    <row r="9" spans="2:39" s="30" customFormat="1" x14ac:dyDescent="0.25">
      <c r="B9" s="135" t="s">
        <v>82</v>
      </c>
      <c r="C9" s="132">
        <v>10.91060919145615</v>
      </c>
      <c r="D9" s="132">
        <v>17.664433324063829</v>
      </c>
      <c r="E9" s="132">
        <v>14.422367762417426</v>
      </c>
      <c r="F9" s="132">
        <v>34.92703253004624</v>
      </c>
      <c r="G9" s="132">
        <v>10.476738821286064</v>
      </c>
      <c r="H9" s="132">
        <v>18.078045663670974</v>
      </c>
      <c r="I9" s="132">
        <v>14.37535737536712</v>
      </c>
      <c r="J9" s="132">
        <v>32.519746664710389</v>
      </c>
      <c r="K9" s="132">
        <v>13.642210207211042</v>
      </c>
      <c r="L9" s="132">
        <v>16.214622028146913</v>
      </c>
      <c r="M9" s="132">
        <v>18.655762093215479</v>
      </c>
      <c r="N9" s="132">
        <v>17.45741426339729</v>
      </c>
      <c r="O9" s="132">
        <v>12.53017706374248</v>
      </c>
      <c r="P9" s="132">
        <f>P8</f>
        <v>1.2995688631174855</v>
      </c>
      <c r="Q9" s="132">
        <f>O9-P9</f>
        <v>11.230608200624994</v>
      </c>
      <c r="R9" s="132">
        <v>61.425975726843305</v>
      </c>
      <c r="S9" s="132">
        <f>S8</f>
        <v>19.492253437075881</v>
      </c>
      <c r="T9" s="132">
        <f>R9-S9</f>
        <v>41.933722289767424</v>
      </c>
      <c r="U9" s="132">
        <v>1.9530757487021946</v>
      </c>
      <c r="V9" s="132">
        <f>V8</f>
        <v>-15.826054580304342</v>
      </c>
      <c r="W9" s="132">
        <f>U9-V9</f>
        <v>17.779130329006538</v>
      </c>
      <c r="X9" s="132">
        <v>38.041797880485284</v>
      </c>
      <c r="Y9" s="132">
        <f>Y8</f>
        <v>1.0388952554233994</v>
      </c>
      <c r="Z9" s="132">
        <f>X9-Y9</f>
        <v>37.002902625061886</v>
      </c>
      <c r="AA9" s="132">
        <v>29.180507939028654</v>
      </c>
      <c r="AB9" s="132">
        <v>29.647691613390695</v>
      </c>
      <c r="AC9" s="132">
        <v>16.989429529157324</v>
      </c>
      <c r="AD9" s="132">
        <v>52.709636362795685</v>
      </c>
      <c r="AE9" s="132">
        <v>21.833885491938471</v>
      </c>
      <c r="AF9" s="137">
        <f>SUM(C9:F9)</f>
        <v>77.924442807983638</v>
      </c>
      <c r="AG9" s="132">
        <f>SUM(G9:J9)</f>
        <v>75.449888525034538</v>
      </c>
      <c r="AH9" s="132">
        <f>SUM(K9:N9)</f>
        <v>65.970008591970725</v>
      </c>
      <c r="AI9" s="132">
        <f>SUM(O9,R9,U9,X9)</f>
        <v>113.95102641977326</v>
      </c>
      <c r="AJ9" s="132">
        <f>AJ8</f>
        <v>6.0046629753124243</v>
      </c>
      <c r="AK9" s="132">
        <f>AI9-AJ9</f>
        <v>107.94636344446083</v>
      </c>
      <c r="AL9" s="140">
        <f>SUM(AA9:AD9)</f>
        <v>128.52726544437235</v>
      </c>
      <c r="AM9" s="284"/>
    </row>
    <row r="10" spans="2:39" s="30" customFormat="1" x14ac:dyDescent="0.25">
      <c r="B10" s="135" t="s">
        <v>101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>
        <v>40.283088805244169</v>
      </c>
      <c r="AB10" s="132">
        <v>27.592919340195849</v>
      </c>
      <c r="AC10" s="132">
        <v>19.473176834207365</v>
      </c>
      <c r="AD10" s="132">
        <v>49.477531830032433</v>
      </c>
      <c r="AE10" s="132">
        <v>20.60273091222696</v>
      </c>
      <c r="AF10" s="137"/>
      <c r="AG10" s="132"/>
      <c r="AH10" s="132"/>
      <c r="AI10" s="132"/>
      <c r="AJ10" s="132"/>
      <c r="AK10" s="132"/>
      <c r="AL10" s="140">
        <f>SUM(AA10:AD10)</f>
        <v>136.82671680967979</v>
      </c>
      <c r="AM10" s="284"/>
    </row>
    <row r="11" spans="2:39" s="30" customFormat="1" ht="13.5" x14ac:dyDescent="0.25">
      <c r="B11" s="135" t="s">
        <v>156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>
        <v>24.567100359048606</v>
      </c>
      <c r="AB11" s="132">
        <v>27.688400084627215</v>
      </c>
      <c r="AC11" s="132">
        <v>16.8502308760688</v>
      </c>
      <c r="AD11" s="132">
        <v>49.477531830032433</v>
      </c>
      <c r="AE11" s="132">
        <v>20.60273091222696</v>
      </c>
      <c r="AF11" s="137"/>
      <c r="AG11" s="132"/>
      <c r="AH11" s="132"/>
      <c r="AI11" s="132"/>
      <c r="AJ11" s="132"/>
      <c r="AK11" s="132"/>
      <c r="AL11" s="140">
        <f>SUM(AA11:AD11)</f>
        <v>118.58326314977705</v>
      </c>
      <c r="AM11" s="284"/>
    </row>
    <row r="12" spans="2:39" s="30" customFormat="1" x14ac:dyDescent="0.25">
      <c r="B12" s="135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5"/>
      <c r="AG12" s="154"/>
      <c r="AH12" s="154"/>
      <c r="AI12" s="154"/>
      <c r="AJ12" s="154"/>
      <c r="AK12" s="154"/>
      <c r="AL12" s="156"/>
    </row>
    <row r="13" spans="2:39" s="30" customFormat="1" ht="12" thickBot="1" x14ac:dyDescent="0.3">
      <c r="B13" s="147" t="s">
        <v>102</v>
      </c>
      <c r="C13" s="148" t="s">
        <v>92</v>
      </c>
      <c r="D13" s="148" t="s">
        <v>93</v>
      </c>
      <c r="E13" s="148" t="s">
        <v>44</v>
      </c>
      <c r="F13" s="148" t="s">
        <v>45</v>
      </c>
      <c r="G13" s="148" t="s">
        <v>46</v>
      </c>
      <c r="H13" s="148" t="s">
        <v>47</v>
      </c>
      <c r="I13" s="148" t="s">
        <v>48</v>
      </c>
      <c r="J13" s="148" t="s">
        <v>49</v>
      </c>
      <c r="K13" s="148" t="s">
        <v>50</v>
      </c>
      <c r="L13" s="148" t="s">
        <v>51</v>
      </c>
      <c r="M13" s="148" t="s">
        <v>52</v>
      </c>
      <c r="N13" s="148" t="s">
        <v>53</v>
      </c>
      <c r="O13" s="148" t="s">
        <v>54</v>
      </c>
      <c r="P13" s="149" t="s">
        <v>55</v>
      </c>
      <c r="Q13" s="149" t="s">
        <v>54</v>
      </c>
      <c r="R13" s="149" t="s">
        <v>57</v>
      </c>
      <c r="S13" s="149" t="s">
        <v>55</v>
      </c>
      <c r="T13" s="149" t="s">
        <v>57</v>
      </c>
      <c r="U13" s="149" t="s">
        <v>59</v>
      </c>
      <c r="V13" s="149" t="s">
        <v>55</v>
      </c>
      <c r="W13" s="149" t="s">
        <v>59</v>
      </c>
      <c r="X13" s="148" t="s">
        <v>61</v>
      </c>
      <c r="Y13" s="148" t="s">
        <v>55</v>
      </c>
      <c r="Z13" s="148" t="s">
        <v>61</v>
      </c>
      <c r="AA13" s="149" t="s">
        <v>7</v>
      </c>
      <c r="AB13" s="149" t="s">
        <v>63</v>
      </c>
      <c r="AC13" s="149" t="s">
        <v>64</v>
      </c>
      <c r="AD13" s="149" t="s">
        <v>65</v>
      </c>
      <c r="AE13" s="149" t="s">
        <v>6</v>
      </c>
      <c r="AF13" s="150" t="s">
        <v>94</v>
      </c>
      <c r="AG13" s="148" t="s">
        <v>67</v>
      </c>
      <c r="AH13" s="148" t="s">
        <v>68</v>
      </c>
      <c r="AI13" s="148" t="s">
        <v>69</v>
      </c>
      <c r="AJ13" s="148" t="s">
        <v>103</v>
      </c>
      <c r="AK13" s="148" t="s">
        <v>69</v>
      </c>
      <c r="AL13" s="151" t="s">
        <v>71</v>
      </c>
    </row>
    <row r="14" spans="2:39" s="30" customFormat="1" x14ac:dyDescent="0.25">
      <c r="B14" s="135" t="s">
        <v>143</v>
      </c>
      <c r="C14" s="132">
        <v>67.45449137</v>
      </c>
      <c r="D14" s="132">
        <v>75.903785859999999</v>
      </c>
      <c r="E14" s="132">
        <v>81.635946099999998</v>
      </c>
      <c r="F14" s="132">
        <v>78.790346760000006</v>
      </c>
      <c r="G14" s="132">
        <v>77.941458530000006</v>
      </c>
      <c r="H14" s="132">
        <v>87.114537580000018</v>
      </c>
      <c r="I14" s="132">
        <v>89.06956022</v>
      </c>
      <c r="J14" s="132">
        <v>86.33885398000001</v>
      </c>
      <c r="K14" s="132">
        <v>90.810112219999993</v>
      </c>
      <c r="L14" s="132">
        <v>93.131205009999988</v>
      </c>
      <c r="M14" s="132">
        <v>91.661426479999989</v>
      </c>
      <c r="N14" s="132">
        <v>91.459492289999986</v>
      </c>
      <c r="O14" s="132">
        <v>86.984354789999998</v>
      </c>
      <c r="P14" s="132"/>
      <c r="Q14" s="132">
        <f>O14</f>
        <v>86.984354789999998</v>
      </c>
      <c r="R14" s="132">
        <v>133.00748919</v>
      </c>
      <c r="S14" s="132"/>
      <c r="T14" s="132">
        <f>R14</f>
        <v>133.00748919</v>
      </c>
      <c r="U14" s="132">
        <v>99.612295239999995</v>
      </c>
      <c r="V14" s="132"/>
      <c r="W14" s="132">
        <f>U14</f>
        <v>99.612295239999995</v>
      </c>
      <c r="X14" s="132">
        <v>99.875539639999985</v>
      </c>
      <c r="Y14" s="132"/>
      <c r="Z14" s="132">
        <f>X14</f>
        <v>99.875539639999985</v>
      </c>
      <c r="AA14" s="132">
        <v>99.437458190000001</v>
      </c>
      <c r="AB14" s="132">
        <v>92.4769486</v>
      </c>
      <c r="AC14" s="132">
        <v>101.78098942</v>
      </c>
      <c r="AD14" s="132">
        <v>106.90531957</v>
      </c>
      <c r="AE14" s="132">
        <v>105.95748293000001</v>
      </c>
      <c r="AF14" s="137">
        <f>SUM(C14:F14)</f>
        <v>303.78457008999999</v>
      </c>
      <c r="AG14" s="132">
        <f>SUM(G14:J14)</f>
        <v>340.46441031000006</v>
      </c>
      <c r="AH14" s="132">
        <f>SUM(K14:N14)</f>
        <v>367.06223599999998</v>
      </c>
      <c r="AI14" s="132">
        <f>SUM(O14,R14,U14,X14)</f>
        <v>419.47967885999998</v>
      </c>
      <c r="AJ14" s="132"/>
      <c r="AK14" s="132">
        <f>AI14</f>
        <v>419.47967885999998</v>
      </c>
      <c r="AL14" s="140">
        <f>SUM(AA14:AD14)</f>
        <v>400.60071578000003</v>
      </c>
      <c r="AM14" s="284"/>
    </row>
    <row r="15" spans="2:39" s="30" customFormat="1" x14ac:dyDescent="0.25">
      <c r="B15" s="159" t="s">
        <v>73</v>
      </c>
      <c r="C15" s="132">
        <v>66.019425290000001</v>
      </c>
      <c r="D15" s="132">
        <v>74.761577810000006</v>
      </c>
      <c r="E15" s="132">
        <v>80.129499039999985</v>
      </c>
      <c r="F15" s="132">
        <v>78.261476599999995</v>
      </c>
      <c r="G15" s="132">
        <v>77.586654949999996</v>
      </c>
      <c r="H15" s="132">
        <v>86.835930710000014</v>
      </c>
      <c r="I15" s="132">
        <v>88.429409180000007</v>
      </c>
      <c r="J15" s="132">
        <v>86.381861920000006</v>
      </c>
      <c r="K15" s="132">
        <v>88.688510619999988</v>
      </c>
      <c r="L15" s="132">
        <v>92.231456840000007</v>
      </c>
      <c r="M15" s="132">
        <v>91.282212420000008</v>
      </c>
      <c r="N15" s="132">
        <v>90.722941430000006</v>
      </c>
      <c r="O15" s="132">
        <v>86.202167429999989</v>
      </c>
      <c r="P15" s="132"/>
      <c r="Q15" s="132">
        <f t="shared" ref="Q15:Q20" si="6">O15</f>
        <v>86.202167429999989</v>
      </c>
      <c r="R15" s="132">
        <v>94.060553589999998</v>
      </c>
      <c r="S15" s="132"/>
      <c r="T15" s="132">
        <f t="shared" ref="T15:T20" si="7">R15</f>
        <v>94.060553589999998</v>
      </c>
      <c r="U15" s="132">
        <v>98.978308380000001</v>
      </c>
      <c r="V15" s="132"/>
      <c r="W15" s="132">
        <f t="shared" ref="W15:W20" si="8">U15</f>
        <v>98.978308380000001</v>
      </c>
      <c r="X15" s="132">
        <v>99.109387060000003</v>
      </c>
      <c r="Y15" s="132"/>
      <c r="Z15" s="132">
        <f t="shared" ref="Z15:Z20" si="9">X15</f>
        <v>99.109387060000003</v>
      </c>
      <c r="AA15" s="132">
        <v>97.925923999999995</v>
      </c>
      <c r="AB15" s="132">
        <v>91.868166099999996</v>
      </c>
      <c r="AC15" s="132">
        <v>99.628841599999987</v>
      </c>
      <c r="AD15" s="132">
        <v>102.50662411000002</v>
      </c>
      <c r="AE15" s="132">
        <v>102.35235248000001</v>
      </c>
      <c r="AF15" s="137">
        <f>SUM(C15:F15)</f>
        <v>299.17197873999999</v>
      </c>
      <c r="AG15" s="132">
        <f>SUM(G15:J15)</f>
        <v>339.23385676000004</v>
      </c>
      <c r="AH15" s="132">
        <f>SUM(K15:N15)</f>
        <v>362.92512131000001</v>
      </c>
      <c r="AI15" s="132">
        <f>SUM(O15,R15,U15,X15)</f>
        <v>378.35041646000002</v>
      </c>
      <c r="AJ15" s="132"/>
      <c r="AK15" s="132">
        <f t="shared" ref="AK15:AK17" si="10">AI15</f>
        <v>378.35041646000002</v>
      </c>
      <c r="AL15" s="140">
        <f>SUM(AA15:AD15)</f>
        <v>391.92955581000001</v>
      </c>
      <c r="AM15" s="284"/>
    </row>
    <row r="16" spans="2:39" s="30" customFormat="1" x14ac:dyDescent="0.25">
      <c r="B16" s="285" t="s">
        <v>123</v>
      </c>
      <c r="C16" s="154">
        <v>16.26987025</v>
      </c>
      <c r="D16" s="154">
        <v>18.465841789999999</v>
      </c>
      <c r="E16" s="154">
        <v>20.100176119999997</v>
      </c>
      <c r="F16" s="154">
        <v>21.69233827</v>
      </c>
      <c r="G16" s="154">
        <v>23.42556063</v>
      </c>
      <c r="H16" s="154">
        <v>24.124724520000001</v>
      </c>
      <c r="I16" s="154">
        <v>24.240872800000002</v>
      </c>
      <c r="J16" s="154">
        <v>25.259914649999999</v>
      </c>
      <c r="K16" s="154">
        <v>27.937865439999996</v>
      </c>
      <c r="L16" s="154">
        <v>28.557743289999998</v>
      </c>
      <c r="M16" s="154">
        <v>28.550011849999997</v>
      </c>
      <c r="N16" s="154">
        <v>30.211184100000001</v>
      </c>
      <c r="O16" s="154">
        <v>33.648539549999995</v>
      </c>
      <c r="P16" s="154"/>
      <c r="Q16" s="154">
        <f t="shared" si="6"/>
        <v>33.648539549999995</v>
      </c>
      <c r="R16" s="154">
        <v>37.643342379999993</v>
      </c>
      <c r="S16" s="154"/>
      <c r="T16" s="154">
        <f t="shared" si="7"/>
        <v>37.643342379999993</v>
      </c>
      <c r="U16" s="154">
        <v>40.257606189999997</v>
      </c>
      <c r="V16" s="154"/>
      <c r="W16" s="154">
        <f t="shared" si="8"/>
        <v>40.257606189999997</v>
      </c>
      <c r="X16" s="154">
        <v>44.989397889999999</v>
      </c>
      <c r="Y16" s="154"/>
      <c r="Z16" s="154">
        <f t="shared" si="9"/>
        <v>44.989397889999999</v>
      </c>
      <c r="AA16" s="154">
        <v>47.808700289999997</v>
      </c>
      <c r="AB16" s="154">
        <v>47.677670380000002</v>
      </c>
      <c r="AC16" s="154">
        <v>50.293086840000001</v>
      </c>
      <c r="AD16" s="154">
        <v>53.508139830000005</v>
      </c>
      <c r="AE16" s="154">
        <v>57.532493480000007</v>
      </c>
      <c r="AF16" s="137">
        <f>SUM(C16:F16)</f>
        <v>76.528226429999989</v>
      </c>
      <c r="AG16" s="132">
        <f>SUM(G16:J16)</f>
        <v>97.051072599999998</v>
      </c>
      <c r="AH16" s="132">
        <f>SUM(K16:N16)</f>
        <v>115.25680467999999</v>
      </c>
      <c r="AI16" s="132">
        <f>SUM(O16,R16,U16,X16)</f>
        <v>156.53888600999997</v>
      </c>
      <c r="AJ16" s="132"/>
      <c r="AK16" s="132">
        <f t="shared" si="10"/>
        <v>156.53888600999997</v>
      </c>
      <c r="AL16" s="140">
        <f>SUM(AA16:AD16)</f>
        <v>199.28759733999999</v>
      </c>
      <c r="AM16" s="284"/>
    </row>
    <row r="17" spans="2:39" s="30" customFormat="1" x14ac:dyDescent="0.25">
      <c r="B17" s="135" t="s">
        <v>107</v>
      </c>
      <c r="C17" s="154">
        <v>9.1790040000000008</v>
      </c>
      <c r="D17" s="154">
        <v>9.3527930000000001</v>
      </c>
      <c r="E17" s="154">
        <v>9.3992059999999995</v>
      </c>
      <c r="F17" s="154">
        <v>9.0230350000000001</v>
      </c>
      <c r="G17" s="154">
        <v>8.8765219999999996</v>
      </c>
      <c r="H17" s="154">
        <v>9.2416610000000006</v>
      </c>
      <c r="I17" s="154">
        <v>9.5471579999999996</v>
      </c>
      <c r="J17" s="154">
        <v>9.7697409999999998</v>
      </c>
      <c r="K17" s="154">
        <v>9.6931329999999996</v>
      </c>
      <c r="L17" s="154">
        <v>10.155194</v>
      </c>
      <c r="M17" s="154">
        <v>10.006683000000001</v>
      </c>
      <c r="N17" s="154">
        <v>9.9366439999999994</v>
      </c>
      <c r="O17" s="154">
        <v>9.6929339999999993</v>
      </c>
      <c r="P17" s="154"/>
      <c r="Q17" s="154">
        <f t="shared" si="6"/>
        <v>9.6929339999999993</v>
      </c>
      <c r="R17" s="154">
        <v>10.044328999999999</v>
      </c>
      <c r="S17" s="154"/>
      <c r="T17" s="154">
        <f t="shared" si="7"/>
        <v>10.044328999999999</v>
      </c>
      <c r="U17" s="154">
        <v>10.245759</v>
      </c>
      <c r="V17" s="154"/>
      <c r="W17" s="154">
        <f t="shared" si="8"/>
        <v>10.245759</v>
      </c>
      <c r="X17" s="154">
        <v>10.188025</v>
      </c>
      <c r="Y17" s="154"/>
      <c r="Z17" s="154">
        <f t="shared" si="9"/>
        <v>10.188025</v>
      </c>
      <c r="AA17" s="154">
        <v>9.5840069999999997</v>
      </c>
      <c r="AB17" s="154">
        <v>9.4437680000000004</v>
      </c>
      <c r="AC17" s="154">
        <v>9.6879080000000002</v>
      </c>
      <c r="AD17" s="154">
        <v>9.5062069999999999</v>
      </c>
      <c r="AE17" s="154">
        <v>9.4788910000000008</v>
      </c>
      <c r="AF17" s="286">
        <f>F17</f>
        <v>9.0230350000000001</v>
      </c>
      <c r="AG17" s="287">
        <f>J17</f>
        <v>9.7697409999999998</v>
      </c>
      <c r="AH17" s="287">
        <f>N17</f>
        <v>9.9366439999999994</v>
      </c>
      <c r="AI17" s="287">
        <f>X17</f>
        <v>10.188025</v>
      </c>
      <c r="AJ17" s="287"/>
      <c r="AK17" s="287">
        <f t="shared" si="10"/>
        <v>10.188025</v>
      </c>
      <c r="AL17" s="288">
        <f>AD17</f>
        <v>9.5062069999999999</v>
      </c>
    </row>
    <row r="18" spans="2:39" s="30" customFormat="1" x14ac:dyDescent="0.25">
      <c r="B18" s="135" t="s">
        <v>134</v>
      </c>
      <c r="C18" s="154">
        <v>2.3328772952040366</v>
      </c>
      <c r="D18" s="154">
        <v>2.7245735463934415</v>
      </c>
      <c r="E18" s="154">
        <v>2.734639548206744</v>
      </c>
      <c r="F18" s="154">
        <v>2.966329947950777</v>
      </c>
      <c r="G18" s="154">
        <v>2.8796051313821156</v>
      </c>
      <c r="H18" s="154">
        <v>3.1461291101872635</v>
      </c>
      <c r="I18" s="154">
        <v>3.0988309384072164</v>
      </c>
      <c r="J18" s="154">
        <v>2.9691506702671755</v>
      </c>
      <c r="K18" s="154">
        <v>3.0221528410107017</v>
      </c>
      <c r="L18" s="154">
        <v>3.0710291485356258</v>
      </c>
      <c r="M18" s="154">
        <v>3.0036528563288027</v>
      </c>
      <c r="N18" s="154">
        <v>3.0042056449926</v>
      </c>
      <c r="O18" s="154">
        <v>2.9113225354785182</v>
      </c>
      <c r="P18" s="154"/>
      <c r="Q18" s="154">
        <f t="shared" si="6"/>
        <v>2.9113225354785182</v>
      </c>
      <c r="R18" s="154">
        <v>3.1499765264650255</v>
      </c>
      <c r="S18" s="154"/>
      <c r="T18" s="154">
        <f t="shared" si="7"/>
        <v>3.1499765264650255</v>
      </c>
      <c r="U18" s="154">
        <v>3.2320614505631187</v>
      </c>
      <c r="V18" s="154"/>
      <c r="W18" s="154">
        <f t="shared" si="8"/>
        <v>3.2320614505631187</v>
      </c>
      <c r="X18" s="154">
        <v>3.2123243030594164</v>
      </c>
      <c r="Y18" s="154"/>
      <c r="Z18" s="154">
        <f t="shared" si="9"/>
        <v>3.2123243030594164</v>
      </c>
      <c r="AA18" s="154">
        <v>3.2880131666116394</v>
      </c>
      <c r="AB18" s="154">
        <v>3.2146476236273904</v>
      </c>
      <c r="AC18" s="154">
        <v>3.4652027255740694</v>
      </c>
      <c r="AD18" s="154">
        <v>3.5235993716476819</v>
      </c>
      <c r="AE18" s="154">
        <v>3.5748545169479766</v>
      </c>
      <c r="AF18" s="155" t="s">
        <v>110</v>
      </c>
      <c r="AG18" s="154" t="s">
        <v>110</v>
      </c>
      <c r="AH18" s="154" t="s">
        <v>110</v>
      </c>
      <c r="AI18" s="154" t="s">
        <v>110</v>
      </c>
      <c r="AJ18" s="154" t="s">
        <v>110</v>
      </c>
      <c r="AK18" s="154" t="s">
        <v>110</v>
      </c>
      <c r="AL18" s="156" t="s">
        <v>110</v>
      </c>
    </row>
    <row r="19" spans="2:39" s="30" customFormat="1" x14ac:dyDescent="0.25">
      <c r="B19" s="135" t="s">
        <v>125</v>
      </c>
      <c r="C19" s="132">
        <v>299.30470795912055</v>
      </c>
      <c r="D19" s="132">
        <v>326.29119997314922</v>
      </c>
      <c r="E19" s="132">
        <v>324.14936499535548</v>
      </c>
      <c r="F19" s="132">
        <v>321.49773097816927</v>
      </c>
      <c r="G19" s="132">
        <v>313.21388184880783</v>
      </c>
      <c r="H19" s="132">
        <v>320.47039345126751</v>
      </c>
      <c r="I19" s="132">
        <v>327.86024994731883</v>
      </c>
      <c r="J19" s="132">
        <v>294.77081269695856</v>
      </c>
      <c r="K19" s="132">
        <v>292.45151984060186</v>
      </c>
      <c r="L19" s="132">
        <v>315.41324365129952</v>
      </c>
      <c r="M19" s="132">
        <v>311.96688945739191</v>
      </c>
      <c r="N19" s="132">
        <v>312.20686139897992</v>
      </c>
      <c r="O19" s="132">
        <v>300.86678894633053</v>
      </c>
      <c r="P19" s="132"/>
      <c r="Q19" s="132">
        <f t="shared" si="6"/>
        <v>300.86678894633053</v>
      </c>
      <c r="R19" s="132">
        <v>326.19912905239187</v>
      </c>
      <c r="S19" s="132"/>
      <c r="T19" s="132">
        <f t="shared" si="7"/>
        <v>326.19912905239187</v>
      </c>
      <c r="U19" s="132">
        <v>314.66076118602666</v>
      </c>
      <c r="V19" s="132"/>
      <c r="W19" s="132">
        <f t="shared" si="8"/>
        <v>314.66076118602666</v>
      </c>
      <c r="X19" s="132">
        <v>300.03509214175898</v>
      </c>
      <c r="Y19" s="132"/>
      <c r="Z19" s="132">
        <f t="shared" si="9"/>
        <v>300.03509214175898</v>
      </c>
      <c r="AA19" s="132">
        <v>297.64229314466684</v>
      </c>
      <c r="AB19" s="132">
        <v>332.18347450616096</v>
      </c>
      <c r="AC19" s="132">
        <v>335.75563336080609</v>
      </c>
      <c r="AD19" s="132">
        <v>322.08635438643563</v>
      </c>
      <c r="AE19" s="132">
        <v>311.26242940411129</v>
      </c>
      <c r="AF19" s="289" t="s">
        <v>110</v>
      </c>
      <c r="AG19" s="290" t="s">
        <v>110</v>
      </c>
      <c r="AH19" s="290" t="s">
        <v>110</v>
      </c>
      <c r="AI19" s="290" t="s">
        <v>110</v>
      </c>
      <c r="AJ19" s="290" t="s">
        <v>110</v>
      </c>
      <c r="AK19" s="290" t="s">
        <v>110</v>
      </c>
      <c r="AL19" s="291" t="s">
        <v>110</v>
      </c>
    </row>
    <row r="20" spans="2:39" s="30" customFormat="1" x14ac:dyDescent="0.25">
      <c r="B20" s="135" t="s">
        <v>126</v>
      </c>
      <c r="C20" s="143">
        <v>0</v>
      </c>
      <c r="D20" s="143">
        <v>0.11417111896919656</v>
      </c>
      <c r="E20" s="143">
        <v>0.1325273108216356</v>
      </c>
      <c r="F20" s="143">
        <v>0.14725483180900739</v>
      </c>
      <c r="G20" s="143">
        <v>0.12467984542857681</v>
      </c>
      <c r="H20" s="143">
        <v>0.1008152969864583</v>
      </c>
      <c r="I20" s="143">
        <v>0.12184940134904731</v>
      </c>
      <c r="J20" s="143">
        <v>0.13476107215759631</v>
      </c>
      <c r="K20" s="143">
        <v>0.15444399424257693</v>
      </c>
      <c r="L20" s="143">
        <v>0.13694514404161118</v>
      </c>
      <c r="M20" s="143">
        <v>0.17082734906080421</v>
      </c>
      <c r="N20" s="143">
        <v>0.15549722471080177</v>
      </c>
      <c r="O20" s="143">
        <v>0.1565221626262164</v>
      </c>
      <c r="P20" s="143"/>
      <c r="Q20" s="143">
        <f t="shared" si="6"/>
        <v>0.1565221626262164</v>
      </c>
      <c r="R20" s="143">
        <v>0.11597383081939984</v>
      </c>
      <c r="S20" s="143"/>
      <c r="T20" s="143">
        <f t="shared" si="7"/>
        <v>0.11597383081939984</v>
      </c>
      <c r="U20" s="143">
        <v>0.13561291602086695</v>
      </c>
      <c r="V20" s="143"/>
      <c r="W20" s="143">
        <f t="shared" si="8"/>
        <v>0.13561291602086695</v>
      </c>
      <c r="X20" s="143">
        <v>0.14704569647990798</v>
      </c>
      <c r="Y20" s="143"/>
      <c r="Z20" s="143">
        <f t="shared" si="9"/>
        <v>0.14704569647990798</v>
      </c>
      <c r="AA20" s="143">
        <v>0.16201106694547127</v>
      </c>
      <c r="AB20" s="143">
        <v>9.1008328614354539E-2</v>
      </c>
      <c r="AC20" s="143">
        <v>7.1999546720318705E-2</v>
      </c>
      <c r="AD20" s="143">
        <v>0.10739958575844731</v>
      </c>
      <c r="AE20" s="143">
        <v>7.6500421541147695E-2</v>
      </c>
      <c r="AF20" s="144" t="s">
        <v>110</v>
      </c>
      <c r="AG20" s="143" t="s">
        <v>110</v>
      </c>
      <c r="AH20" s="143" t="s">
        <v>110</v>
      </c>
      <c r="AI20" s="143" t="s">
        <v>110</v>
      </c>
      <c r="AJ20" s="143" t="s">
        <v>110</v>
      </c>
      <c r="AK20" s="143" t="s">
        <v>110</v>
      </c>
      <c r="AL20" s="145" t="s">
        <v>110</v>
      </c>
    </row>
    <row r="21" spans="2:39" s="30" customFormat="1" x14ac:dyDescent="0.25">
      <c r="B21" s="135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89"/>
      <c r="AG21" s="154"/>
      <c r="AH21" s="154"/>
      <c r="AI21" s="154"/>
      <c r="AJ21" s="154"/>
      <c r="AK21" s="154"/>
      <c r="AL21" s="156"/>
    </row>
    <row r="22" spans="2:39" s="30" customFormat="1" ht="12" thickBot="1" x14ac:dyDescent="0.3">
      <c r="B22" s="147" t="s">
        <v>114</v>
      </c>
      <c r="C22" s="148" t="s">
        <v>92</v>
      </c>
      <c r="D22" s="148" t="s">
        <v>93</v>
      </c>
      <c r="E22" s="148" t="s">
        <v>44</v>
      </c>
      <c r="F22" s="148" t="s">
        <v>45</v>
      </c>
      <c r="G22" s="148" t="s">
        <v>46</v>
      </c>
      <c r="H22" s="148" t="s">
        <v>47</v>
      </c>
      <c r="I22" s="148" t="s">
        <v>48</v>
      </c>
      <c r="J22" s="148" t="s">
        <v>49</v>
      </c>
      <c r="K22" s="148" t="s">
        <v>50</v>
      </c>
      <c r="L22" s="148" t="s">
        <v>51</v>
      </c>
      <c r="M22" s="148" t="s">
        <v>52</v>
      </c>
      <c r="N22" s="148" t="s">
        <v>53</v>
      </c>
      <c r="O22" s="148" t="s">
        <v>54</v>
      </c>
      <c r="P22" s="148" t="s">
        <v>55</v>
      </c>
      <c r="Q22" s="148" t="s">
        <v>54</v>
      </c>
      <c r="R22" s="148" t="s">
        <v>57</v>
      </c>
      <c r="S22" s="148" t="s">
        <v>55</v>
      </c>
      <c r="T22" s="148" t="s">
        <v>57</v>
      </c>
      <c r="U22" s="148" t="s">
        <v>59</v>
      </c>
      <c r="V22" s="148" t="s">
        <v>55</v>
      </c>
      <c r="W22" s="148" t="s">
        <v>59</v>
      </c>
      <c r="X22" s="148" t="s">
        <v>61</v>
      </c>
      <c r="Y22" s="148" t="s">
        <v>55</v>
      </c>
      <c r="Z22" s="148" t="s">
        <v>61</v>
      </c>
      <c r="AA22" s="149" t="s">
        <v>7</v>
      </c>
      <c r="AB22" s="149" t="s">
        <v>63</v>
      </c>
      <c r="AC22" s="149" t="s">
        <v>64</v>
      </c>
      <c r="AD22" s="149" t="s">
        <v>65</v>
      </c>
      <c r="AE22" s="149" t="s">
        <v>6</v>
      </c>
      <c r="AF22" s="150" t="s">
        <v>94</v>
      </c>
      <c r="AG22" s="148" t="s">
        <v>67</v>
      </c>
      <c r="AH22" s="148" t="s">
        <v>68</v>
      </c>
      <c r="AI22" s="148" t="s">
        <v>69</v>
      </c>
      <c r="AJ22" s="148" t="s">
        <v>103</v>
      </c>
      <c r="AK22" s="148" t="s">
        <v>69</v>
      </c>
      <c r="AL22" s="151" t="s">
        <v>71</v>
      </c>
    </row>
    <row r="23" spans="2:39" s="30" customFormat="1" x14ac:dyDescent="0.25">
      <c r="B23" s="135" t="s">
        <v>143</v>
      </c>
      <c r="C23" s="132">
        <v>13.695860269999999</v>
      </c>
      <c r="D23" s="132">
        <v>13.97173443</v>
      </c>
      <c r="E23" s="132">
        <v>15.681732539999999</v>
      </c>
      <c r="F23" s="132">
        <v>16.970754530000001</v>
      </c>
      <c r="G23" s="132">
        <v>16.589644419999999</v>
      </c>
      <c r="H23" s="132">
        <v>18.26429104</v>
      </c>
      <c r="I23" s="132">
        <v>18.908520230000001</v>
      </c>
      <c r="J23" s="132">
        <v>21.552837739999998</v>
      </c>
      <c r="K23" s="132">
        <v>18.779144469999999</v>
      </c>
      <c r="L23" s="132">
        <v>18.734461</v>
      </c>
      <c r="M23" s="132">
        <v>18.418889649999997</v>
      </c>
      <c r="N23" s="132">
        <v>17.527977679999999</v>
      </c>
      <c r="O23" s="132">
        <v>16.246110439999999</v>
      </c>
      <c r="P23" s="132"/>
      <c r="Q23" s="132">
        <f>O23</f>
        <v>16.246110439999999</v>
      </c>
      <c r="R23" s="132">
        <v>16.753724989999998</v>
      </c>
      <c r="S23" s="132"/>
      <c r="T23" s="132">
        <f>R23</f>
        <v>16.753724989999998</v>
      </c>
      <c r="U23" s="132">
        <v>15.83412916</v>
      </c>
      <c r="V23" s="132"/>
      <c r="W23" s="132">
        <f>U23</f>
        <v>15.83412916</v>
      </c>
      <c r="X23" s="132">
        <v>17.758121559999999</v>
      </c>
      <c r="Y23" s="132"/>
      <c r="Z23" s="132">
        <f>X23</f>
        <v>17.758121559999999</v>
      </c>
      <c r="AA23" s="132">
        <v>18.266261320000002</v>
      </c>
      <c r="AB23" s="132">
        <v>18.636947859999999</v>
      </c>
      <c r="AC23" s="132">
        <v>20.104943010000003</v>
      </c>
      <c r="AD23" s="132">
        <v>21.035236300000001</v>
      </c>
      <c r="AE23" s="132">
        <v>21.940289649999997</v>
      </c>
      <c r="AF23" s="137">
        <f>SUM(C23:F23)</f>
        <v>60.320081769999994</v>
      </c>
      <c r="AG23" s="132">
        <f>SUM(G23:J23)</f>
        <v>75.315293429999997</v>
      </c>
      <c r="AH23" s="132">
        <f>SUM(K23:N23)</f>
        <v>73.460472799999991</v>
      </c>
      <c r="AI23" s="132">
        <f>SUM(O23,R23,U23,X23)</f>
        <v>66.59208615</v>
      </c>
      <c r="AJ23" s="132"/>
      <c r="AK23" s="132">
        <f>AI23</f>
        <v>66.59208615</v>
      </c>
      <c r="AL23" s="140">
        <f>SUM(AA23:AD23)</f>
        <v>78.043388490000012</v>
      </c>
    </row>
    <row r="24" spans="2:39" s="30" customFormat="1" x14ac:dyDescent="0.25">
      <c r="B24" s="159" t="s">
        <v>73</v>
      </c>
      <c r="C24" s="132">
        <v>13.673447980000001</v>
      </c>
      <c r="D24" s="132">
        <v>13.948456169999998</v>
      </c>
      <c r="E24" s="132">
        <v>15.657667759999997</v>
      </c>
      <c r="F24" s="132">
        <v>16.94233199</v>
      </c>
      <c r="G24" s="132">
        <v>16.559789909999999</v>
      </c>
      <c r="H24" s="132">
        <v>18.231778289999998</v>
      </c>
      <c r="I24" s="132">
        <v>18.86619022</v>
      </c>
      <c r="J24" s="132">
        <v>21.52381257</v>
      </c>
      <c r="K24" s="132">
        <v>18.733019300000002</v>
      </c>
      <c r="L24" s="132">
        <v>18.690564390000002</v>
      </c>
      <c r="M24" s="132">
        <v>18.376496210000003</v>
      </c>
      <c r="N24" s="132">
        <v>17.488330730000001</v>
      </c>
      <c r="O24" s="132">
        <v>16.197968769999999</v>
      </c>
      <c r="P24" s="132"/>
      <c r="Q24" s="132">
        <f t="shared" ref="Q24:Q27" si="11">O24</f>
        <v>16.197968769999999</v>
      </c>
      <c r="R24" s="132">
        <v>16.70926725</v>
      </c>
      <c r="S24" s="132"/>
      <c r="T24" s="132">
        <f t="shared" ref="T24:T27" si="12">R24</f>
        <v>16.70926725</v>
      </c>
      <c r="U24" s="132">
        <v>15.78676089</v>
      </c>
      <c r="V24" s="132"/>
      <c r="W24" s="132">
        <f t="shared" ref="W24:W27" si="13">U24</f>
        <v>15.78676089</v>
      </c>
      <c r="X24" s="132">
        <v>17.710942369999998</v>
      </c>
      <c r="Y24" s="132"/>
      <c r="Z24" s="132">
        <f t="shared" ref="Z24:Z27" si="14">X24</f>
        <v>17.710942369999998</v>
      </c>
      <c r="AA24" s="132">
        <v>18.19832289</v>
      </c>
      <c r="AB24" s="132">
        <v>18.590854989999997</v>
      </c>
      <c r="AC24" s="132">
        <v>20.05310098</v>
      </c>
      <c r="AD24" s="132">
        <v>20.987163940000002</v>
      </c>
      <c r="AE24" s="132">
        <v>21.889590460000001</v>
      </c>
      <c r="AF24" s="137">
        <f>SUM(C24:F24)</f>
        <v>60.221903899999994</v>
      </c>
      <c r="AG24" s="132">
        <f>SUM(G24:J24)</f>
        <v>75.181570989999997</v>
      </c>
      <c r="AH24" s="132">
        <f>SUM(K24:N24)</f>
        <v>73.288410630000001</v>
      </c>
      <c r="AI24" s="132">
        <f>SUM(O24,R24,U24,X24)</f>
        <v>66.404939279999994</v>
      </c>
      <c r="AJ24" s="132"/>
      <c r="AK24" s="132">
        <f t="shared" ref="AK24:AK26" si="15">AI24</f>
        <v>66.404939279999994</v>
      </c>
      <c r="AL24" s="140">
        <f>SUM(AA24:AD24)</f>
        <v>77.829442799999995</v>
      </c>
    </row>
    <row r="25" spans="2:39" s="30" customFormat="1" x14ac:dyDescent="0.25">
      <c r="B25" s="292" t="s">
        <v>115</v>
      </c>
      <c r="C25" s="132">
        <v>8.0397898703612718</v>
      </c>
      <c r="D25" s="132">
        <v>8.7588798773343264</v>
      </c>
      <c r="E25" s="132">
        <v>8.891267422661965</v>
      </c>
      <c r="F25" s="132">
        <v>9.7846148762833369</v>
      </c>
      <c r="G25" s="132">
        <v>10.331145585676323</v>
      </c>
      <c r="H25" s="132">
        <v>10.842018961539827</v>
      </c>
      <c r="I25" s="132">
        <v>9.6652993602199917</v>
      </c>
      <c r="J25" s="132">
        <v>11.060358414807325</v>
      </c>
      <c r="K25" s="132">
        <v>8.6314066536029088</v>
      </c>
      <c r="L25" s="132">
        <v>8.5669347517943688</v>
      </c>
      <c r="M25" s="132">
        <v>8.4066998957754837</v>
      </c>
      <c r="N25" s="132">
        <v>8.4190871722930609</v>
      </c>
      <c r="O25" s="132">
        <v>8.5355543831428839</v>
      </c>
      <c r="P25" s="132"/>
      <c r="Q25" s="132">
        <f t="shared" si="11"/>
        <v>8.5355543831428839</v>
      </c>
      <c r="R25" s="132">
        <f>R51/R67</f>
        <v>8.3544741071705459</v>
      </c>
      <c r="S25" s="132"/>
      <c r="T25" s="132">
        <f t="shared" si="12"/>
        <v>8.3544741071705459</v>
      </c>
      <c r="U25" s="132">
        <f>U51/U67</f>
        <v>8.2011608632073276</v>
      </c>
      <c r="V25" s="132"/>
      <c r="W25" s="132">
        <f t="shared" si="13"/>
        <v>8.2011608632073276</v>
      </c>
      <c r="X25" s="132">
        <f>X51/X67</f>
        <v>8.7261473194058805</v>
      </c>
      <c r="Y25" s="132"/>
      <c r="Z25" s="132">
        <f t="shared" si="14"/>
        <v>8.7261473194058805</v>
      </c>
      <c r="AA25" s="132">
        <f>AA51/AA67</f>
        <v>7.9282569434190533</v>
      </c>
      <c r="AB25" s="132">
        <f>AB51/AB67</f>
        <v>8.5598496094791141</v>
      </c>
      <c r="AC25" s="132">
        <f>AC51/AC67</f>
        <v>9.0281345533320589</v>
      </c>
      <c r="AD25" s="132">
        <f>AD51/AD67</f>
        <v>9.1295068061813449</v>
      </c>
      <c r="AE25" s="132">
        <f>AE51/AE67</f>
        <v>9.9382348554213795</v>
      </c>
      <c r="AF25" s="137">
        <f>SUM(C25:F25)</f>
        <v>35.474552046640902</v>
      </c>
      <c r="AG25" s="132">
        <f>SUM(G25:J25)</f>
        <v>41.898822322243468</v>
      </c>
      <c r="AH25" s="132">
        <f>SUM(K25:N25)</f>
        <v>34.024128473465822</v>
      </c>
      <c r="AI25" s="132">
        <f>SUM(O25,R25,U25,X25)</f>
        <v>33.817336672926636</v>
      </c>
      <c r="AJ25" s="132"/>
      <c r="AK25" s="132">
        <f t="shared" si="15"/>
        <v>33.817336672926636</v>
      </c>
      <c r="AL25" s="140">
        <f>SUM(AA25:AD25)</f>
        <v>34.645747912411572</v>
      </c>
    </row>
    <row r="26" spans="2:39" s="30" customFormat="1" x14ac:dyDescent="0.25">
      <c r="B26" s="292" t="s">
        <v>116</v>
      </c>
      <c r="C26" s="132">
        <v>0.23214899999999999</v>
      </c>
      <c r="D26" s="132">
        <v>0.24801999999999999</v>
      </c>
      <c r="E26" s="132">
        <v>0.261737</v>
      </c>
      <c r="F26" s="132">
        <v>0.27920800000000001</v>
      </c>
      <c r="G26" s="132">
        <v>0.29259800000000002</v>
      </c>
      <c r="H26" s="132">
        <v>0.297072</v>
      </c>
      <c r="I26" s="132">
        <v>0.307836</v>
      </c>
      <c r="J26" s="132">
        <v>0.33210699999999999</v>
      </c>
      <c r="K26" s="132">
        <v>0.34767500000000001</v>
      </c>
      <c r="L26" s="132">
        <v>0.35211500000000001</v>
      </c>
      <c r="M26" s="132">
        <v>0.36602200000000001</v>
      </c>
      <c r="N26" s="132">
        <v>0.38549899999999998</v>
      </c>
      <c r="O26" s="154">
        <f>O52</f>
        <v>0.39754299999999998</v>
      </c>
      <c r="P26" s="154"/>
      <c r="Q26" s="154">
        <f t="shared" si="11"/>
        <v>0.39754299999999998</v>
      </c>
      <c r="R26" s="154">
        <f>R52</f>
        <v>0.406723</v>
      </c>
      <c r="S26" s="154"/>
      <c r="T26" s="154">
        <f t="shared" si="12"/>
        <v>0.406723</v>
      </c>
      <c r="U26" s="154">
        <f>U52</f>
        <v>0.40183799999999997</v>
      </c>
      <c r="V26" s="154"/>
      <c r="W26" s="154">
        <f t="shared" si="13"/>
        <v>0.40183799999999997</v>
      </c>
      <c r="X26" s="154">
        <f>X52</f>
        <v>0.41662700000000003</v>
      </c>
      <c r="Y26" s="154"/>
      <c r="Z26" s="154">
        <f t="shared" si="14"/>
        <v>0.41662700000000003</v>
      </c>
      <c r="AA26" s="154">
        <f>AA52</f>
        <v>0.44057099999999999</v>
      </c>
      <c r="AB26" s="154">
        <f>AB52</f>
        <v>0.46297700000000003</v>
      </c>
      <c r="AC26" s="154">
        <f>AC52</f>
        <v>0.46298</v>
      </c>
      <c r="AD26" s="154">
        <f>AD52</f>
        <v>0.48805100000000001</v>
      </c>
      <c r="AE26" s="154">
        <f>AE52</f>
        <v>0.50671200000000005</v>
      </c>
      <c r="AF26" s="155">
        <f>F26</f>
        <v>0.27920800000000001</v>
      </c>
      <c r="AG26" s="154">
        <f>J26</f>
        <v>0.33210699999999999</v>
      </c>
      <c r="AH26" s="154">
        <f>N26</f>
        <v>0.38549899999999998</v>
      </c>
      <c r="AI26" s="154">
        <f>X26</f>
        <v>0.41662700000000003</v>
      </c>
      <c r="AJ26" s="154"/>
      <c r="AK26" s="154">
        <f t="shared" si="15"/>
        <v>0.41662700000000003</v>
      </c>
      <c r="AL26" s="156">
        <f>AD26</f>
        <v>0.48805100000000001</v>
      </c>
    </row>
    <row r="27" spans="2:39" s="30" customFormat="1" ht="12" thickBot="1" x14ac:dyDescent="0.3">
      <c r="B27" s="293" t="s">
        <v>117</v>
      </c>
      <c r="C27" s="294">
        <f t="shared" ref="C27:O27" si="16">C53/C67</f>
        <v>11.537940169347452</v>
      </c>
      <c r="D27" s="294">
        <f t="shared" si="16"/>
        <v>12.160450485382619</v>
      </c>
      <c r="E27" s="294">
        <f t="shared" si="16"/>
        <v>11.626589227722583</v>
      </c>
      <c r="F27" s="294">
        <f t="shared" si="16"/>
        <v>12.058071083340794</v>
      </c>
      <c r="G27" s="294">
        <f t="shared" si="16"/>
        <v>12.038520539996227</v>
      </c>
      <c r="H27" s="294">
        <f t="shared" si="16"/>
        <v>12.256932425857794</v>
      </c>
      <c r="I27" s="294">
        <f t="shared" si="16"/>
        <v>10.634876476350781</v>
      </c>
      <c r="J27" s="294">
        <f t="shared" si="16"/>
        <v>11.521165305555678</v>
      </c>
      <c r="K27" s="294">
        <f t="shared" si="16"/>
        <v>8.473829304958965</v>
      </c>
      <c r="L27" s="294">
        <f t="shared" si="16"/>
        <v>8.146825353613135</v>
      </c>
      <c r="M27" s="294">
        <f t="shared" si="16"/>
        <v>7.8005649618693393</v>
      </c>
      <c r="N27" s="294">
        <f t="shared" si="16"/>
        <v>7.4697914401559</v>
      </c>
      <c r="O27" s="294">
        <f t="shared" si="16"/>
        <v>7.2669888606511899</v>
      </c>
      <c r="P27" s="294"/>
      <c r="Q27" s="294">
        <f t="shared" si="11"/>
        <v>7.2669888606511899</v>
      </c>
      <c r="R27" s="294">
        <f>R53/R67</f>
        <v>6.925133481684373</v>
      </c>
      <c r="S27" s="294"/>
      <c r="T27" s="294">
        <f t="shared" si="12"/>
        <v>6.925133481684373</v>
      </c>
      <c r="U27" s="294">
        <f>U53/U67</f>
        <v>6.7619395141140268</v>
      </c>
      <c r="V27" s="294"/>
      <c r="W27" s="294">
        <f t="shared" si="13"/>
        <v>6.7619395141140268</v>
      </c>
      <c r="X27" s="294">
        <f>X53/X67</f>
        <v>7.1077340463802194</v>
      </c>
      <c r="Y27" s="294"/>
      <c r="Z27" s="294">
        <f t="shared" si="14"/>
        <v>7.1077340463802194</v>
      </c>
      <c r="AA27" s="294">
        <f>AA53/AA67</f>
        <v>6.1660253861371999</v>
      </c>
      <c r="AB27" s="294">
        <f>AB53/AB67</f>
        <v>6.3157313239799207</v>
      </c>
      <c r="AC27" s="294">
        <f>AC53/AC67</f>
        <v>6.5000387370990653</v>
      </c>
      <c r="AD27" s="294">
        <f>AD53/AD67</f>
        <v>6.3997260560250533</v>
      </c>
      <c r="AE27" s="294">
        <f>AE53/AE67</f>
        <v>6.6603702626799084</v>
      </c>
      <c r="AF27" s="295" t="s">
        <v>144</v>
      </c>
      <c r="AG27" s="294" t="s">
        <v>144</v>
      </c>
      <c r="AH27" s="294" t="s">
        <v>144</v>
      </c>
      <c r="AI27" s="294" t="s">
        <v>144</v>
      </c>
      <c r="AJ27" s="294" t="s">
        <v>144</v>
      </c>
      <c r="AK27" s="294" t="s">
        <v>144</v>
      </c>
      <c r="AL27" s="296" t="s">
        <v>144</v>
      </c>
    </row>
    <row r="28" spans="2:39" s="30" customFormat="1" ht="12" thickTop="1" x14ac:dyDescent="0.25">
      <c r="C28" s="297"/>
      <c r="D28" s="297"/>
      <c r="E28" s="297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9"/>
      <c r="AG28" s="284"/>
      <c r="AH28" s="284"/>
      <c r="AI28" s="284"/>
      <c r="AJ28" s="284"/>
      <c r="AK28" s="284"/>
      <c r="AL28" s="284"/>
    </row>
    <row r="29" spans="2:39" ht="12" thickBot="1" x14ac:dyDescent="0.3">
      <c r="B29" s="36" t="s">
        <v>152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301"/>
      <c r="AG29" s="139"/>
      <c r="AH29" s="139"/>
      <c r="AI29" s="139"/>
      <c r="AJ29" s="139"/>
      <c r="AK29" s="139"/>
      <c r="AL29" s="139"/>
    </row>
    <row r="30" spans="2:39" s="82" customFormat="1" ht="12.5" thickTop="1" thickBot="1" x14ac:dyDescent="0.3">
      <c r="B30" s="38" t="s">
        <v>99</v>
      </c>
      <c r="C30" s="43" t="s">
        <v>92</v>
      </c>
      <c r="D30" s="43" t="s">
        <v>93</v>
      </c>
      <c r="E30" s="43" t="s">
        <v>44</v>
      </c>
      <c r="F30" s="180" t="s">
        <v>45</v>
      </c>
      <c r="G30" s="180" t="s">
        <v>46</v>
      </c>
      <c r="H30" s="180" t="s">
        <v>47</v>
      </c>
      <c r="I30" s="180" t="s">
        <v>48</v>
      </c>
      <c r="J30" s="180" t="s">
        <v>49</v>
      </c>
      <c r="K30" s="180" t="s">
        <v>50</v>
      </c>
      <c r="L30" s="180" t="s">
        <v>51</v>
      </c>
      <c r="M30" s="180" t="s">
        <v>52</v>
      </c>
      <c r="N30" s="180" t="s">
        <v>53</v>
      </c>
      <c r="O30" s="180" t="s">
        <v>54</v>
      </c>
      <c r="P30" s="180" t="s">
        <v>55</v>
      </c>
      <c r="Q30" s="180" t="s">
        <v>56</v>
      </c>
      <c r="R30" s="180" t="s">
        <v>57</v>
      </c>
      <c r="S30" s="180" t="s">
        <v>55</v>
      </c>
      <c r="T30" s="180" t="s">
        <v>58</v>
      </c>
      <c r="U30" s="180" t="s">
        <v>59</v>
      </c>
      <c r="V30" s="180" t="s">
        <v>55</v>
      </c>
      <c r="W30" s="180" t="s">
        <v>60</v>
      </c>
      <c r="X30" s="180" t="s">
        <v>61</v>
      </c>
      <c r="Y30" s="180" t="s">
        <v>55</v>
      </c>
      <c r="Z30" s="180" t="s">
        <v>62</v>
      </c>
      <c r="AA30" s="180" t="s">
        <v>7</v>
      </c>
      <c r="AB30" s="180" t="s">
        <v>63</v>
      </c>
      <c r="AC30" s="180" t="s">
        <v>64</v>
      </c>
      <c r="AD30" s="180" t="s">
        <v>65</v>
      </c>
      <c r="AE30" s="180" t="s">
        <v>6</v>
      </c>
      <c r="AF30" s="134" t="s">
        <v>94</v>
      </c>
      <c r="AG30" s="43" t="s">
        <v>67</v>
      </c>
      <c r="AH30" s="43" t="s">
        <v>68</v>
      </c>
      <c r="AI30" s="43" t="s">
        <v>69</v>
      </c>
      <c r="AJ30" s="43" t="s">
        <v>55</v>
      </c>
      <c r="AK30" s="43" t="s">
        <v>70</v>
      </c>
      <c r="AL30" s="44" t="s">
        <v>71</v>
      </c>
    </row>
    <row r="31" spans="2:39" x14ac:dyDescent="0.25">
      <c r="B31" s="135" t="s">
        <v>72</v>
      </c>
      <c r="C31" s="132">
        <v>28794.64532666</v>
      </c>
      <c r="D31" s="132">
        <v>30159.013277120004</v>
      </c>
      <c r="E31" s="132">
        <v>33216.441119610005</v>
      </c>
      <c r="F31" s="132">
        <v>32083.028937939995</v>
      </c>
      <c r="G31" s="132">
        <v>30467.621511280002</v>
      </c>
      <c r="H31" s="132">
        <v>33199.482518819997</v>
      </c>
      <c r="I31" s="132">
        <v>35866.709539540003</v>
      </c>
      <c r="J31" s="132">
        <v>36079.229050080001</v>
      </c>
      <c r="K31" s="132">
        <v>35415.944038319998</v>
      </c>
      <c r="L31" s="132">
        <v>36881.712430030006</v>
      </c>
      <c r="M31" s="132">
        <v>39163.156645499999</v>
      </c>
      <c r="N31" s="132">
        <v>40337.574062840002</v>
      </c>
      <c r="O31" s="132">
        <v>39029.639539590004</v>
      </c>
      <c r="P31" s="132"/>
      <c r="Q31" s="132">
        <f>O31</f>
        <v>39029.639539590004</v>
      </c>
      <c r="R31" s="132">
        <v>56952.106929559995</v>
      </c>
      <c r="S31" s="132"/>
      <c r="T31" s="132">
        <f>R31</f>
        <v>56952.106929559995</v>
      </c>
      <c r="U31" s="132">
        <v>44545.799187679993</v>
      </c>
      <c r="V31" s="132"/>
      <c r="W31" s="132">
        <f>U31</f>
        <v>44545.799187679993</v>
      </c>
      <c r="X31" s="132">
        <v>45511.87964282</v>
      </c>
      <c r="Y31" s="132"/>
      <c r="Z31" s="132">
        <f>X31</f>
        <v>45511.87964282</v>
      </c>
      <c r="AA31" s="132">
        <v>45954.185314939998</v>
      </c>
      <c r="AB31" s="132">
        <v>46361.308867330001</v>
      </c>
      <c r="AC31" s="132">
        <v>50948.6358148</v>
      </c>
      <c r="AD31" s="132">
        <v>54510.69978042</v>
      </c>
      <c r="AE31" s="132">
        <v>53702.007622919999</v>
      </c>
      <c r="AF31" s="137">
        <f>SUM(C31:F31)</f>
        <v>124253.12866133</v>
      </c>
      <c r="AG31" s="132">
        <f>SUM(G31:J31)</f>
        <v>135613.04261972001</v>
      </c>
      <c r="AH31" s="132">
        <f>SUM(K31:N31)</f>
        <v>151798.38717669001</v>
      </c>
      <c r="AI31" s="138">
        <f>SUM(O31,R31,U31,X31)</f>
        <v>186039.42529965</v>
      </c>
      <c r="AJ31" s="138"/>
      <c r="AK31" s="132">
        <f>AI31</f>
        <v>186039.42529965</v>
      </c>
      <c r="AL31" s="140">
        <f>SUM(AA31:AD31)</f>
        <v>197774.82977749</v>
      </c>
      <c r="AM31" s="284"/>
    </row>
    <row r="32" spans="2:39" x14ac:dyDescent="0.25">
      <c r="B32" s="135" t="s">
        <v>74</v>
      </c>
      <c r="C32" s="132">
        <v>11126.298581869998</v>
      </c>
      <c r="D32" s="132">
        <v>12019.859041070002</v>
      </c>
      <c r="E32" s="132">
        <v>16110.084847610004</v>
      </c>
      <c r="F32" s="132">
        <v>15568.713727900002</v>
      </c>
      <c r="G32" s="132">
        <v>13350.069775190004</v>
      </c>
      <c r="H32" s="132">
        <v>15231.720825449998</v>
      </c>
      <c r="I32" s="132">
        <v>14580.363522830008</v>
      </c>
      <c r="J32" s="132">
        <v>15384.14672948</v>
      </c>
      <c r="K32" s="132">
        <v>16256.11803775</v>
      </c>
      <c r="L32" s="132">
        <v>16857.808891880002</v>
      </c>
      <c r="M32" s="132">
        <v>18809.029336459997</v>
      </c>
      <c r="N32" s="132">
        <v>19196.497610570004</v>
      </c>
      <c r="O32" s="132">
        <v>20903.081316550004</v>
      </c>
      <c r="P32" s="132">
        <v>1561.7234253994395</v>
      </c>
      <c r="Q32" s="132">
        <f>O32-P32</f>
        <v>19341.357891150565</v>
      </c>
      <c r="R32" s="132">
        <v>36839.474369639996</v>
      </c>
      <c r="S32" s="132">
        <v>1586.5484385700001</v>
      </c>
      <c r="T32" s="132">
        <f>R32-S32</f>
        <v>35252.92593107</v>
      </c>
      <c r="U32" s="132">
        <v>22965.021498819991</v>
      </c>
      <c r="V32" s="132">
        <v>1628.5111201722846</v>
      </c>
      <c r="W32" s="132">
        <f>U32-V32</f>
        <v>21336.510378647708</v>
      </c>
      <c r="X32" s="132">
        <v>22746.342834229996</v>
      </c>
      <c r="Y32" s="132">
        <v>1652.6245034300002</v>
      </c>
      <c r="Z32" s="132">
        <f>X32-Y32</f>
        <v>21093.718330799995</v>
      </c>
      <c r="AA32" s="132">
        <v>24627.552164449997</v>
      </c>
      <c r="AB32" s="132">
        <v>25324.640245489998</v>
      </c>
      <c r="AC32" s="132">
        <v>26932.82932981</v>
      </c>
      <c r="AD32" s="132">
        <v>32488.027000730002</v>
      </c>
      <c r="AE32" s="132">
        <v>27678.052617310001</v>
      </c>
      <c r="AF32" s="137">
        <f>SUM(C32:F32)</f>
        <v>54824.956198450003</v>
      </c>
      <c r="AG32" s="132">
        <f>SUM(G32:J32)</f>
        <v>58546.300852950015</v>
      </c>
      <c r="AH32" s="132">
        <f>SUM(K32:N32)</f>
        <v>71119.453876660002</v>
      </c>
      <c r="AI32" s="132">
        <f>SUM(O32,R32,U32,X32)</f>
        <v>103453.92001923997</v>
      </c>
      <c r="AJ32" s="132">
        <f>SUM(P32,S32,V32,Y32)</f>
        <v>6429.4074875717242</v>
      </c>
      <c r="AK32" s="132">
        <f>AI32-AJ32</f>
        <v>97024.512531668253</v>
      </c>
      <c r="AL32" s="140">
        <f>SUM(AA32:AD32)</f>
        <v>109373.04874047999</v>
      </c>
      <c r="AM32" s="284"/>
    </row>
    <row r="33" spans="2:39" x14ac:dyDescent="0.25">
      <c r="B33" s="135" t="s">
        <v>75</v>
      </c>
      <c r="C33" s="143">
        <f t="shared" ref="C33:O33" si="17">C32/C31</f>
        <v>0.386401654045328</v>
      </c>
      <c r="D33" s="143">
        <f t="shared" si="17"/>
        <v>0.39854947940849283</v>
      </c>
      <c r="E33" s="143">
        <f t="shared" si="17"/>
        <v>0.48500333884652941</v>
      </c>
      <c r="F33" s="143">
        <f t="shared" si="17"/>
        <v>0.48526321370764086</v>
      </c>
      <c r="G33" s="143">
        <f t="shared" si="17"/>
        <v>0.43817236505473256</v>
      </c>
      <c r="H33" s="143">
        <f t="shared" si="17"/>
        <v>0.45879392297200711</v>
      </c>
      <c r="I33" s="143">
        <f t="shared" si="17"/>
        <v>0.40651522567902126</v>
      </c>
      <c r="J33" s="143">
        <f t="shared" si="17"/>
        <v>0.42639898729892312</v>
      </c>
      <c r="K33" s="143">
        <f t="shared" si="17"/>
        <v>0.45900563938549555</v>
      </c>
      <c r="L33" s="143">
        <f t="shared" si="17"/>
        <v>0.45707771633059957</v>
      </c>
      <c r="M33" s="143">
        <f t="shared" si="17"/>
        <v>0.48027357719698083</v>
      </c>
      <c r="N33" s="143">
        <f t="shared" si="17"/>
        <v>0.47589618504733794</v>
      </c>
      <c r="O33" s="143">
        <f t="shared" si="17"/>
        <v>0.53556941757934529</v>
      </c>
      <c r="P33" s="143"/>
      <c r="Q33" s="143">
        <f>Q32/Q31</f>
        <v>0.49555563718520934</v>
      </c>
      <c r="R33" s="143">
        <f t="shared" ref="R33" si="18">R32/R31</f>
        <v>0.64685007027403074</v>
      </c>
      <c r="S33" s="143"/>
      <c r="T33" s="143">
        <f>T32/T31</f>
        <v>0.61899248037779941</v>
      </c>
      <c r="U33" s="143">
        <f t="shared" ref="U33" si="19">U32/U31</f>
        <v>0.51553731030986671</v>
      </c>
      <c r="V33" s="143"/>
      <c r="W33" s="143">
        <f>W32/W31</f>
        <v>0.47897918025340391</v>
      </c>
      <c r="X33" s="143">
        <f t="shared" ref="X33" si="20">X32/X31</f>
        <v>0.4997891322605148</v>
      </c>
      <c r="Y33" s="143"/>
      <c r="Z33" s="143">
        <f>Z32/Z31</f>
        <v>0.46347719532449067</v>
      </c>
      <c r="AA33" s="143">
        <f t="shared" ref="AA33:AE33" si="21">AA32/AA31</f>
        <v>0.53591532513673834</v>
      </c>
      <c r="AB33" s="143">
        <f t="shared" si="21"/>
        <v>0.54624515278376506</v>
      </c>
      <c r="AC33" s="143">
        <f t="shared" si="21"/>
        <v>0.5286270947020395</v>
      </c>
      <c r="AD33" s="143">
        <f t="shared" si="21"/>
        <v>0.59599357798740926</v>
      </c>
      <c r="AE33" s="143">
        <f t="shared" si="21"/>
        <v>0.51540070553148221</v>
      </c>
      <c r="AF33" s="144">
        <f>AF32/AF31</f>
        <v>0.4412360218943332</v>
      </c>
      <c r="AG33" s="143">
        <f>AG32/AG31</f>
        <v>0.4317158565428173</v>
      </c>
      <c r="AH33" s="143">
        <f>AH32/AH31</f>
        <v>0.46851257908213811</v>
      </c>
      <c r="AI33" s="143">
        <f>AI32/AI31</f>
        <v>0.55608600087109927</v>
      </c>
      <c r="AJ33" s="143"/>
      <c r="AK33" s="143">
        <f t="shared" ref="AK33" si="22">AK32/AK31</f>
        <v>0.52152661929261934</v>
      </c>
      <c r="AL33" s="145">
        <f>AL32/AL31</f>
        <v>0.55301804007887168</v>
      </c>
    </row>
    <row r="34" spans="2:39" x14ac:dyDescent="0.25">
      <c r="B34" s="135" t="s">
        <v>81</v>
      </c>
      <c r="C34" s="132">
        <v>17837.956973117394</v>
      </c>
      <c r="D34" s="132">
        <v>17922.49393560618</v>
      </c>
      <c r="E34" s="132">
        <v>4918.9587293577424</v>
      </c>
      <c r="F34" s="132">
        <v>11728.163932656658</v>
      </c>
      <c r="G34" s="132">
        <v>3359.6868541152439</v>
      </c>
      <c r="H34" s="132">
        <v>5710.2030495329027</v>
      </c>
      <c r="I34" s="132">
        <v>4783.8960742121662</v>
      </c>
      <c r="J34" s="132">
        <v>10848.610719365612</v>
      </c>
      <c r="K34" s="132">
        <v>4401.2047452184515</v>
      </c>
      <c r="L34" s="132">
        <v>5344.1440417580534</v>
      </c>
      <c r="M34" s="132">
        <v>6641.9487018896034</v>
      </c>
      <c r="N34" s="132">
        <v>6468.4259915599314</v>
      </c>
      <c r="O34" s="132">
        <v>4736.4991459527464</v>
      </c>
      <c r="P34" s="132">
        <v>491.10759152802626</v>
      </c>
      <c r="Q34" s="132">
        <f>O34-P34</f>
        <v>4245.3915544247202</v>
      </c>
      <c r="R34" s="132">
        <v>23404.801984574362</v>
      </c>
      <c r="S34" s="132">
        <v>7401.3418671009949</v>
      </c>
      <c r="T34" s="132">
        <f>R34-S34</f>
        <v>16003.460117473367</v>
      </c>
      <c r="U34" s="132">
        <v>7334.8962608223519</v>
      </c>
      <c r="V34" s="132">
        <v>-6121.0503926325364</v>
      </c>
      <c r="W34" s="132">
        <f>U34-V34</f>
        <v>13455.946653454888</v>
      </c>
      <c r="X34" s="132">
        <v>12918.769321009246</v>
      </c>
      <c r="Y34" s="132">
        <v>403.40036776381874</v>
      </c>
      <c r="Z34" s="132">
        <f>X34-Y34</f>
        <v>12515.368953245426</v>
      </c>
      <c r="AA34" s="132">
        <v>18339.39963238141</v>
      </c>
      <c r="AB34" s="132">
        <v>12399.700228735106</v>
      </c>
      <c r="AC34" s="132">
        <v>8249.0070214344014</v>
      </c>
      <c r="AD34" s="132">
        <v>22259.15794098056</v>
      </c>
      <c r="AE34" s="132">
        <v>9168.1793497787585</v>
      </c>
      <c r="AF34" s="137">
        <f>SUM(C34:F34)</f>
        <v>52407.573570737979</v>
      </c>
      <c r="AG34" s="132">
        <f>SUM(G34:J34)</f>
        <v>24702.396697225922</v>
      </c>
      <c r="AH34" s="132">
        <f>SUM(K34:N34)</f>
        <v>22855.723480426041</v>
      </c>
      <c r="AI34" s="132">
        <f>SUM(O34,R34,U34,X34)</f>
        <v>48394.966712358706</v>
      </c>
      <c r="AJ34" s="132">
        <f>SUM(P34,S34,V34,Y34)</f>
        <v>2174.7994337603036</v>
      </c>
      <c r="AK34" s="132">
        <f>AI34-AJ34</f>
        <v>46220.167278598405</v>
      </c>
      <c r="AL34" s="140">
        <f>SUM(AA34:AD34)</f>
        <v>61247.26482353147</v>
      </c>
      <c r="AM34" s="284"/>
    </row>
    <row r="35" spans="2:39" x14ac:dyDescent="0.25">
      <c r="B35" s="135" t="s">
        <v>82</v>
      </c>
      <c r="C35" s="132">
        <v>3837.9569731173951</v>
      </c>
      <c r="D35" s="132">
        <v>5922.4939356061841</v>
      </c>
      <c r="E35" s="132">
        <v>4918.9587293577424</v>
      </c>
      <c r="F35" s="132">
        <v>11728.163932656658</v>
      </c>
      <c r="G35" s="132">
        <v>3359.6868541152439</v>
      </c>
      <c r="H35" s="132">
        <v>5710.2030495329027</v>
      </c>
      <c r="I35" s="132">
        <v>4783.8960742121662</v>
      </c>
      <c r="J35" s="132">
        <v>10848.610719365612</v>
      </c>
      <c r="K35" s="132">
        <v>4401.2047452184515</v>
      </c>
      <c r="L35" s="132">
        <v>5344.1440417580534</v>
      </c>
      <c r="M35" s="132">
        <v>6641.9487018896034</v>
      </c>
      <c r="N35" s="132">
        <v>6468.4259915599314</v>
      </c>
      <c r="O35" s="132">
        <v>4736.4991459527464</v>
      </c>
      <c r="P35" s="132">
        <f>P34</f>
        <v>491.10759152802626</v>
      </c>
      <c r="Q35" s="132">
        <f>O35-P35</f>
        <v>4245.3915544247202</v>
      </c>
      <c r="R35" s="132">
        <v>23404.801984574362</v>
      </c>
      <c r="S35" s="132">
        <f>S34</f>
        <v>7401.3418671009949</v>
      </c>
      <c r="T35" s="132">
        <f>R35-S35</f>
        <v>16003.460117473367</v>
      </c>
      <c r="U35" s="132">
        <v>728.64511173235132</v>
      </c>
      <c r="V35" s="132">
        <f>V34</f>
        <v>-6121.0503926325364</v>
      </c>
      <c r="W35" s="132">
        <f>U35-V35</f>
        <v>6849.6955043648877</v>
      </c>
      <c r="X35" s="132">
        <v>14688.220430009245</v>
      </c>
      <c r="Y35" s="132">
        <f>Y34</f>
        <v>403.40036776381874</v>
      </c>
      <c r="Z35" s="132">
        <f>X35-Y35</f>
        <v>14284.820062245426</v>
      </c>
      <c r="AA35" s="132">
        <v>11812.529199891411</v>
      </c>
      <c r="AB35" s="132">
        <v>12439.664496355106</v>
      </c>
      <c r="AC35" s="132">
        <v>7150.8756996043994</v>
      </c>
      <c r="AD35" s="132">
        <v>22259.15794098056</v>
      </c>
      <c r="AE35" s="132">
        <v>9168.1793497787585</v>
      </c>
      <c r="AF35" s="137">
        <f>SUM(C35:F35)</f>
        <v>26407.573570737979</v>
      </c>
      <c r="AG35" s="132">
        <f>SUM(G35:J35)</f>
        <v>24702.396697225922</v>
      </c>
      <c r="AH35" s="132">
        <f>SUM(K35:N35)</f>
        <v>22855.723480426041</v>
      </c>
      <c r="AI35" s="132">
        <f>SUM(O35,R35,U35,X35)</f>
        <v>43558.166672268708</v>
      </c>
      <c r="AJ35" s="132">
        <f>AJ34</f>
        <v>2174.7994337603036</v>
      </c>
      <c r="AK35" s="132">
        <f>AI35-AJ35</f>
        <v>41383.367238508406</v>
      </c>
      <c r="AL35" s="140">
        <f>SUM(AA35:AD35)</f>
        <v>53662.227336831478</v>
      </c>
      <c r="AM35" s="284"/>
    </row>
    <row r="36" spans="2:39" x14ac:dyDescent="0.25">
      <c r="B36" s="135" t="s">
        <v>101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>
        <v>16440.760158814624</v>
      </c>
      <c r="AB36" s="132">
        <v>11570.130295607152</v>
      </c>
      <c r="AC36" s="132">
        <v>8185.7515984344009</v>
      </c>
      <c r="AD36" s="132">
        <v>20883.184190980559</v>
      </c>
      <c r="AE36" s="132">
        <v>8651.7081567787591</v>
      </c>
      <c r="AF36" s="137"/>
      <c r="AG36" s="132"/>
      <c r="AH36" s="132"/>
      <c r="AI36" s="132"/>
      <c r="AJ36" s="132"/>
      <c r="AK36" s="132"/>
      <c r="AL36" s="140">
        <f>SUM(AA36:AD36)</f>
        <v>57079.826243836738</v>
      </c>
      <c r="AM36" s="284"/>
    </row>
    <row r="37" spans="2:39" ht="13.5" x14ac:dyDescent="0.25">
      <c r="B37" s="135" t="s">
        <v>156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>
        <v>9913.8897263246236</v>
      </c>
      <c r="AB37" s="132">
        <v>11610.094563227154</v>
      </c>
      <c r="AC37" s="132">
        <v>7087.6202766043998</v>
      </c>
      <c r="AD37" s="132">
        <v>20883.184190980559</v>
      </c>
      <c r="AE37" s="132">
        <v>8651.7081567787591</v>
      </c>
      <c r="AF37" s="137"/>
      <c r="AG37" s="132"/>
      <c r="AH37" s="132"/>
      <c r="AI37" s="132"/>
      <c r="AJ37" s="132"/>
      <c r="AK37" s="132"/>
      <c r="AL37" s="140">
        <f>SUM(AA37:AD37)</f>
        <v>49494.788757136739</v>
      </c>
      <c r="AM37" s="284"/>
    </row>
    <row r="38" spans="2:39" x14ac:dyDescent="0.25">
      <c r="B38" s="135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5"/>
      <c r="AG38" s="154"/>
      <c r="AH38" s="154"/>
      <c r="AI38" s="154"/>
      <c r="AJ38" s="154"/>
      <c r="AK38" s="154"/>
      <c r="AL38" s="156"/>
    </row>
    <row r="39" spans="2:39" s="82" customFormat="1" ht="12" thickBot="1" x14ac:dyDescent="0.3">
      <c r="B39" s="147" t="s">
        <v>102</v>
      </c>
      <c r="C39" s="148" t="s">
        <v>92</v>
      </c>
      <c r="D39" s="148" t="s">
        <v>93</v>
      </c>
      <c r="E39" s="148" t="s">
        <v>44</v>
      </c>
      <c r="F39" s="149" t="s">
        <v>45</v>
      </c>
      <c r="G39" s="149" t="s">
        <v>46</v>
      </c>
      <c r="H39" s="149" t="s">
        <v>47</v>
      </c>
      <c r="I39" s="149" t="s">
        <v>48</v>
      </c>
      <c r="J39" s="149" t="s">
        <v>49</v>
      </c>
      <c r="K39" s="149" t="s">
        <v>50</v>
      </c>
      <c r="L39" s="149" t="s">
        <v>51</v>
      </c>
      <c r="M39" s="149" t="s">
        <v>52</v>
      </c>
      <c r="N39" s="149" t="s">
        <v>53</v>
      </c>
      <c r="O39" s="149" t="s">
        <v>54</v>
      </c>
      <c r="P39" s="149" t="s">
        <v>55</v>
      </c>
      <c r="Q39" s="149" t="s">
        <v>54</v>
      </c>
      <c r="R39" s="149" t="s">
        <v>57</v>
      </c>
      <c r="S39" s="149" t="s">
        <v>55</v>
      </c>
      <c r="T39" s="149" t="s">
        <v>57</v>
      </c>
      <c r="U39" s="149" t="s">
        <v>59</v>
      </c>
      <c r="V39" s="149" t="s">
        <v>55</v>
      </c>
      <c r="W39" s="149" t="s">
        <v>59</v>
      </c>
      <c r="X39" s="149" t="s">
        <v>61</v>
      </c>
      <c r="Y39" s="149" t="s">
        <v>55</v>
      </c>
      <c r="Z39" s="149" t="s">
        <v>61</v>
      </c>
      <c r="AA39" s="149" t="s">
        <v>7</v>
      </c>
      <c r="AB39" s="149" t="s">
        <v>63</v>
      </c>
      <c r="AC39" s="149" t="s">
        <v>64</v>
      </c>
      <c r="AD39" s="149" t="s">
        <v>65</v>
      </c>
      <c r="AE39" s="149" t="s">
        <v>6</v>
      </c>
      <c r="AF39" s="150" t="s">
        <v>94</v>
      </c>
      <c r="AG39" s="148" t="s">
        <v>67</v>
      </c>
      <c r="AH39" s="148" t="s">
        <v>68</v>
      </c>
      <c r="AI39" s="148" t="s">
        <v>69</v>
      </c>
      <c r="AJ39" s="148" t="s">
        <v>103</v>
      </c>
      <c r="AK39" s="148" t="s">
        <v>69</v>
      </c>
      <c r="AL39" s="151" t="s">
        <v>71</v>
      </c>
    </row>
    <row r="40" spans="2:39" x14ac:dyDescent="0.25">
      <c r="B40" s="135" t="s">
        <v>143</v>
      </c>
      <c r="C40" s="132">
        <v>23931.215004459998</v>
      </c>
      <c r="D40" s="132">
        <v>25470.614534799999</v>
      </c>
      <c r="E40" s="132">
        <v>27865.638842559998</v>
      </c>
      <c r="F40" s="132">
        <v>26396.116796199996</v>
      </c>
      <c r="G40" s="132">
        <v>25121.067571889998</v>
      </c>
      <c r="H40" s="132">
        <v>27445.144254609997</v>
      </c>
      <c r="I40" s="132">
        <v>29584.755498690003</v>
      </c>
      <c r="J40" s="132">
        <v>28871.830166110001</v>
      </c>
      <c r="K40" s="132">
        <v>29342.51711542</v>
      </c>
      <c r="L40" s="132">
        <v>30710.733772750002</v>
      </c>
      <c r="M40" s="132">
        <v>32608.670815919999</v>
      </c>
      <c r="N40" s="132">
        <v>33849.396210650004</v>
      </c>
      <c r="O40" s="132">
        <v>32887.138298629994</v>
      </c>
      <c r="P40" s="132"/>
      <c r="Q40" s="132">
        <f>O40</f>
        <v>32887.138298629994</v>
      </c>
      <c r="R40" s="132">
        <v>50578.438736019991</v>
      </c>
      <c r="S40" s="132"/>
      <c r="T40" s="132">
        <f>R40</f>
        <v>50578.438736019991</v>
      </c>
      <c r="U40" s="132">
        <v>38435.648653709999</v>
      </c>
      <c r="V40" s="132"/>
      <c r="W40" s="132">
        <f>U40</f>
        <v>38435.648653709999</v>
      </c>
      <c r="X40" s="132">
        <v>38643.515746690005</v>
      </c>
      <c r="Y40" s="132"/>
      <c r="Z40" s="132">
        <f>X40</f>
        <v>38643.515746690005</v>
      </c>
      <c r="AA40" s="132">
        <v>38811.628960989998</v>
      </c>
      <c r="AB40" s="132">
        <v>38583.463407129988</v>
      </c>
      <c r="AC40" s="132">
        <v>42547.004716210002</v>
      </c>
      <c r="AD40" s="132">
        <v>45547.186156249998</v>
      </c>
      <c r="AE40" s="132">
        <v>44489.80614244</v>
      </c>
      <c r="AF40" s="137">
        <f>SUM(C40:F40)</f>
        <v>103663.58517802</v>
      </c>
      <c r="AG40" s="132">
        <f>SUM(G40:J40)</f>
        <v>111022.79749129999</v>
      </c>
      <c r="AH40" s="132">
        <f>SUM(K40:N40)</f>
        <v>126511.31791474001</v>
      </c>
      <c r="AI40" s="132">
        <f>SUM(O40,R40,U40,X40)</f>
        <v>160544.74143505</v>
      </c>
      <c r="AJ40" s="132"/>
      <c r="AK40" s="132">
        <f>AI40</f>
        <v>160544.74143505</v>
      </c>
      <c r="AL40" s="140">
        <f>SUM(AA40:AD40)</f>
        <v>165489.28324058</v>
      </c>
      <c r="AM40" s="284"/>
    </row>
    <row r="41" spans="2:39" ht="15.75" customHeight="1" x14ac:dyDescent="0.25">
      <c r="B41" s="135" t="s">
        <v>73</v>
      </c>
      <c r="C41" s="132">
        <v>23423.561542380001</v>
      </c>
      <c r="D41" s="132">
        <v>25087.59819769</v>
      </c>
      <c r="E41" s="132">
        <v>27350.01193796</v>
      </c>
      <c r="F41" s="132">
        <v>26217.875014139998</v>
      </c>
      <c r="G41" s="132">
        <v>25006.274120860002</v>
      </c>
      <c r="H41" s="132">
        <v>27357.330917979998</v>
      </c>
      <c r="I41" s="132">
        <v>29372.901935860002</v>
      </c>
      <c r="J41" s="132">
        <v>28884.492266410005</v>
      </c>
      <c r="K41" s="132">
        <v>28661.51241078</v>
      </c>
      <c r="L41" s="132">
        <v>30413.336309409995</v>
      </c>
      <c r="M41" s="132">
        <v>32473.168986389999</v>
      </c>
      <c r="N41" s="132">
        <v>33576.579171819998</v>
      </c>
      <c r="O41" s="132">
        <v>32591.463834129998</v>
      </c>
      <c r="P41" s="132"/>
      <c r="Q41" s="132">
        <f>O41</f>
        <v>32591.463834129998</v>
      </c>
      <c r="R41" s="132">
        <v>35795.663385249994</v>
      </c>
      <c r="S41" s="132"/>
      <c r="T41" s="132">
        <f>R41</f>
        <v>35795.663385249994</v>
      </c>
      <c r="U41" s="132">
        <v>38191.051411809996</v>
      </c>
      <c r="V41" s="132"/>
      <c r="W41" s="132">
        <f>U41</f>
        <v>38191.051411809996</v>
      </c>
      <c r="X41" s="132">
        <v>38347.116083579996</v>
      </c>
      <c r="Y41" s="132"/>
      <c r="Z41" s="132">
        <f>X41</f>
        <v>38347.116083579996</v>
      </c>
      <c r="AA41" s="132">
        <v>38213.492847880007</v>
      </c>
      <c r="AB41" s="132">
        <v>38335.900095419987</v>
      </c>
      <c r="AC41" s="132">
        <v>41642.706067339997</v>
      </c>
      <c r="AD41" s="132">
        <v>43680.994335900003</v>
      </c>
      <c r="AE41" s="132">
        <v>42976.1012777</v>
      </c>
      <c r="AF41" s="137">
        <f>SUM(C41:F41)</f>
        <v>102079.04669216998</v>
      </c>
      <c r="AG41" s="132">
        <f>SUM(G41:J41)</f>
        <v>110620.99924111001</v>
      </c>
      <c r="AH41" s="132">
        <f>SUM(K41:N41)</f>
        <v>125124.59687839999</v>
      </c>
      <c r="AI41" s="132">
        <f>SUM(O41,R41,U41,X41)</f>
        <v>144925.29471476999</v>
      </c>
      <c r="AJ41" s="132"/>
      <c r="AK41" s="132">
        <f t="shared" ref="AK41:AK43" si="23">AI41</f>
        <v>144925.29471476999</v>
      </c>
      <c r="AL41" s="140">
        <f>SUM(AA41:AD41)</f>
        <v>161873.09334654</v>
      </c>
      <c r="AM41" s="284"/>
    </row>
    <row r="42" spans="2:39" x14ac:dyDescent="0.25">
      <c r="B42" s="285" t="s">
        <v>123</v>
      </c>
      <c r="C42" s="132">
        <v>5774.8479170000001</v>
      </c>
      <c r="D42" s="132">
        <v>6197.2772000000004</v>
      </c>
      <c r="E42" s="132">
        <v>6859.1052209999998</v>
      </c>
      <c r="F42" s="132">
        <v>7268.8072410000004</v>
      </c>
      <c r="G42" s="132">
        <v>7551.1179553900001</v>
      </c>
      <c r="H42" s="132">
        <v>7600.1965872700002</v>
      </c>
      <c r="I42" s="132">
        <v>8052.1442927399994</v>
      </c>
      <c r="J42" s="132">
        <v>8446.2109402400001</v>
      </c>
      <c r="K42" s="132">
        <v>9026.8938572000006</v>
      </c>
      <c r="L42" s="132">
        <v>9422.9354026599995</v>
      </c>
      <c r="M42" s="132">
        <v>10157.503529439999</v>
      </c>
      <c r="N42" s="132">
        <v>11182.070252080001</v>
      </c>
      <c r="O42" s="132">
        <v>12721.945767839999</v>
      </c>
      <c r="P42" s="154"/>
      <c r="Q42" s="154">
        <f t="shared" ref="Q42:Q46" si="24">O42</f>
        <v>12721.945767839999</v>
      </c>
      <c r="R42" s="154">
        <v>14325.56531803</v>
      </c>
      <c r="S42" s="154"/>
      <c r="T42" s="154">
        <f t="shared" ref="T42:T46" si="25">R42</f>
        <v>14325.56531803</v>
      </c>
      <c r="U42" s="154">
        <v>15534.405208780001</v>
      </c>
      <c r="V42" s="154"/>
      <c r="W42" s="154">
        <f t="shared" ref="W42:W46" si="26">U42</f>
        <v>15534.405208780001</v>
      </c>
      <c r="X42" s="154">
        <v>17404.31682702</v>
      </c>
      <c r="Y42" s="154"/>
      <c r="Z42" s="154">
        <f t="shared" ref="Z42:Z46" si="27">X42</f>
        <v>17404.31682702</v>
      </c>
      <c r="AA42" s="154">
        <v>18635.82332272</v>
      </c>
      <c r="AB42" s="154">
        <v>19921.6279455</v>
      </c>
      <c r="AC42" s="154">
        <v>21025.028749990001</v>
      </c>
      <c r="AD42" s="154">
        <v>22800.564427309997</v>
      </c>
      <c r="AE42" s="154">
        <v>24157.29141378</v>
      </c>
      <c r="AF42" s="137">
        <f>SUM(C42:F42)</f>
        <v>26100.037579000003</v>
      </c>
      <c r="AG42" s="132">
        <f>SUM(G42:J42)</f>
        <v>31649.669775640003</v>
      </c>
      <c r="AH42" s="132">
        <f>SUM(K42:N42)</f>
        <v>39789.403041380006</v>
      </c>
      <c r="AI42" s="132">
        <f>SUM(O42,R42,U42,X42)</f>
        <v>59986.233121669997</v>
      </c>
      <c r="AJ42" s="132"/>
      <c r="AK42" s="132">
        <f t="shared" si="23"/>
        <v>59986.233121669997</v>
      </c>
      <c r="AL42" s="140">
        <f>SUM(AA42:AD42)</f>
        <v>82383.044445520005</v>
      </c>
      <c r="AM42" s="284"/>
    </row>
    <row r="43" spans="2:39" x14ac:dyDescent="0.25">
      <c r="B43" s="135" t="s">
        <v>107</v>
      </c>
      <c r="C43" s="287">
        <f t="shared" ref="C43:O43" si="28">C17</f>
        <v>9.1790040000000008</v>
      </c>
      <c r="D43" s="287">
        <f t="shared" si="28"/>
        <v>9.3527930000000001</v>
      </c>
      <c r="E43" s="287">
        <f t="shared" si="28"/>
        <v>9.3992059999999995</v>
      </c>
      <c r="F43" s="287">
        <f t="shared" si="28"/>
        <v>9.0230350000000001</v>
      </c>
      <c r="G43" s="287">
        <f t="shared" si="28"/>
        <v>8.8765219999999996</v>
      </c>
      <c r="H43" s="287">
        <f t="shared" si="28"/>
        <v>9.2416610000000006</v>
      </c>
      <c r="I43" s="287">
        <f t="shared" si="28"/>
        <v>9.5471579999999996</v>
      </c>
      <c r="J43" s="287">
        <f t="shared" si="28"/>
        <v>9.7697409999999998</v>
      </c>
      <c r="K43" s="287">
        <f t="shared" si="28"/>
        <v>9.6931329999999996</v>
      </c>
      <c r="L43" s="287">
        <f t="shared" si="28"/>
        <v>10.155194</v>
      </c>
      <c r="M43" s="287">
        <f t="shared" si="28"/>
        <v>10.006683000000001</v>
      </c>
      <c r="N43" s="287">
        <f t="shared" si="28"/>
        <v>9.9366439999999994</v>
      </c>
      <c r="O43" s="287">
        <f t="shared" si="28"/>
        <v>9.6929339999999993</v>
      </c>
      <c r="P43" s="154"/>
      <c r="Q43" s="154">
        <f t="shared" si="24"/>
        <v>9.6929339999999993</v>
      </c>
      <c r="R43" s="154">
        <f t="shared" ref="R43" si="29">R17</f>
        <v>10.044328999999999</v>
      </c>
      <c r="S43" s="154"/>
      <c r="T43" s="154">
        <f t="shared" si="25"/>
        <v>10.044328999999999</v>
      </c>
      <c r="U43" s="154">
        <f t="shared" ref="U43" si="30">U17</f>
        <v>10.245759</v>
      </c>
      <c r="V43" s="154"/>
      <c r="W43" s="154">
        <f t="shared" si="26"/>
        <v>10.245759</v>
      </c>
      <c r="X43" s="154">
        <f t="shared" ref="X43" si="31">X17</f>
        <v>10.188025</v>
      </c>
      <c r="Y43" s="154"/>
      <c r="Z43" s="154">
        <f t="shared" si="27"/>
        <v>10.188025</v>
      </c>
      <c r="AA43" s="154">
        <f t="shared" ref="AA43:AE43" si="32">AA17</f>
        <v>9.5840069999999997</v>
      </c>
      <c r="AB43" s="154">
        <f t="shared" si="32"/>
        <v>9.4437680000000004</v>
      </c>
      <c r="AC43" s="154">
        <f t="shared" si="32"/>
        <v>9.6879080000000002</v>
      </c>
      <c r="AD43" s="154">
        <f t="shared" si="32"/>
        <v>9.5062069999999999</v>
      </c>
      <c r="AE43" s="154">
        <f t="shared" si="32"/>
        <v>9.4788910000000008</v>
      </c>
      <c r="AF43" s="286">
        <f>F43</f>
        <v>9.0230350000000001</v>
      </c>
      <c r="AG43" s="287">
        <f>J43</f>
        <v>9.7697409999999998</v>
      </c>
      <c r="AH43" s="287">
        <f>N43</f>
        <v>9.9366439999999994</v>
      </c>
      <c r="AI43" s="287">
        <f>X43</f>
        <v>10.188025</v>
      </c>
      <c r="AJ43" s="287"/>
      <c r="AK43" s="287">
        <f t="shared" si="23"/>
        <v>10.188025</v>
      </c>
      <c r="AL43" s="288">
        <f>AD43</f>
        <v>9.5062069999999999</v>
      </c>
    </row>
    <row r="44" spans="2:39" x14ac:dyDescent="0.25">
      <c r="B44" s="135" t="s">
        <v>153</v>
      </c>
      <c r="C44" s="154">
        <v>827.71950377847315</v>
      </c>
      <c r="D44" s="154">
        <v>914.12961631045994</v>
      </c>
      <c r="E44" s="154">
        <v>933.67998488801106</v>
      </c>
      <c r="F44" s="154">
        <v>993.47867826322909</v>
      </c>
      <c r="G44" s="154">
        <v>927.96488313723819</v>
      </c>
      <c r="H44" s="154">
        <v>991.25586427660357</v>
      </c>
      <c r="I44" s="154">
        <v>1029.2803114210285</v>
      </c>
      <c r="J44" s="154">
        <v>992.83329583145485</v>
      </c>
      <c r="K44" s="154">
        <v>976.66950275312183</v>
      </c>
      <c r="L44" s="154">
        <v>1012.6621865920152</v>
      </c>
      <c r="M44" s="154">
        <v>1068.4807521912105</v>
      </c>
      <c r="N44" s="154">
        <v>1111.852320041352</v>
      </c>
      <c r="O44" s="154">
        <v>1100.7180438693078</v>
      </c>
      <c r="P44" s="154"/>
      <c r="Q44" s="154">
        <f t="shared" si="24"/>
        <v>1100.7180438693078</v>
      </c>
      <c r="R44" s="154">
        <v>1198.7559066110969</v>
      </c>
      <c r="S44" s="154"/>
      <c r="T44" s="154">
        <f t="shared" si="25"/>
        <v>1198.7559066110969</v>
      </c>
      <c r="U44" s="154">
        <v>1247.0822736024274</v>
      </c>
      <c r="V44" s="154"/>
      <c r="W44" s="154">
        <f t="shared" si="26"/>
        <v>1247.0822736024274</v>
      </c>
      <c r="X44" s="154">
        <v>1242.877922812208</v>
      </c>
      <c r="Y44" s="154"/>
      <c r="Z44" s="154">
        <f t="shared" si="27"/>
        <v>1242.877922812208</v>
      </c>
      <c r="AA44" s="154">
        <v>1283.0963864216553</v>
      </c>
      <c r="AB44" s="154">
        <v>1341.4569310540335</v>
      </c>
      <c r="AC44" s="154">
        <v>1448.3895083110683</v>
      </c>
      <c r="AD44" s="154">
        <v>1501.4210976711699</v>
      </c>
      <c r="AE44" s="154">
        <v>1501.0240691967983</v>
      </c>
      <c r="AF44" s="155" t="s">
        <v>110</v>
      </c>
      <c r="AG44" s="154" t="s">
        <v>110</v>
      </c>
      <c r="AH44" s="154" t="s">
        <v>110</v>
      </c>
      <c r="AI44" s="154" t="s">
        <v>110</v>
      </c>
      <c r="AJ44" s="154" t="s">
        <v>110</v>
      </c>
      <c r="AK44" s="154" t="s">
        <v>110</v>
      </c>
      <c r="AL44" s="156" t="s">
        <v>110</v>
      </c>
    </row>
    <row r="45" spans="2:39" x14ac:dyDescent="0.25">
      <c r="B45" s="135" t="s">
        <v>125</v>
      </c>
      <c r="C45" s="290">
        <f t="shared" ref="C45:O46" si="33">C19</f>
        <v>299.30470795912055</v>
      </c>
      <c r="D45" s="290">
        <f t="shared" si="33"/>
        <v>326.29119997314922</v>
      </c>
      <c r="E45" s="290">
        <f t="shared" si="33"/>
        <v>324.14936499535548</v>
      </c>
      <c r="F45" s="290">
        <f t="shared" si="33"/>
        <v>321.49773097816927</v>
      </c>
      <c r="G45" s="290">
        <f t="shared" si="33"/>
        <v>313.21388184880783</v>
      </c>
      <c r="H45" s="290">
        <f t="shared" si="33"/>
        <v>320.47039345126751</v>
      </c>
      <c r="I45" s="290">
        <f t="shared" si="33"/>
        <v>327.86024994731883</v>
      </c>
      <c r="J45" s="290">
        <f t="shared" si="33"/>
        <v>294.77081269695856</v>
      </c>
      <c r="K45" s="290">
        <f t="shared" si="33"/>
        <v>292.45151984060186</v>
      </c>
      <c r="L45" s="290">
        <f t="shared" si="33"/>
        <v>315.41324365129952</v>
      </c>
      <c r="M45" s="290">
        <f t="shared" si="33"/>
        <v>311.96688945739191</v>
      </c>
      <c r="N45" s="290">
        <f t="shared" si="33"/>
        <v>312.20686139897992</v>
      </c>
      <c r="O45" s="290">
        <f t="shared" si="33"/>
        <v>300.86678894633053</v>
      </c>
      <c r="P45" s="132"/>
      <c r="Q45" s="132">
        <f t="shared" si="24"/>
        <v>300.86678894633053</v>
      </c>
      <c r="R45" s="132">
        <f>R19</f>
        <v>326.19912905239187</v>
      </c>
      <c r="S45" s="132"/>
      <c r="T45" s="132">
        <f t="shared" si="25"/>
        <v>326.19912905239187</v>
      </c>
      <c r="U45" s="132">
        <f>U19</f>
        <v>314.66076118602666</v>
      </c>
      <c r="V45" s="132"/>
      <c r="W45" s="132">
        <f t="shared" si="26"/>
        <v>314.66076118602666</v>
      </c>
      <c r="X45" s="132">
        <f>X19</f>
        <v>300.03509214175898</v>
      </c>
      <c r="Y45" s="132"/>
      <c r="Z45" s="132">
        <f t="shared" si="27"/>
        <v>300.03509214175898</v>
      </c>
      <c r="AA45" s="132">
        <f t="shared" ref="AA45:AL46" si="34">AA19</f>
        <v>297.64229314466684</v>
      </c>
      <c r="AB45" s="132">
        <f t="shared" si="34"/>
        <v>332.18347450616096</v>
      </c>
      <c r="AC45" s="132">
        <f t="shared" si="34"/>
        <v>335.75563336080609</v>
      </c>
      <c r="AD45" s="132">
        <f t="shared" si="34"/>
        <v>322.08635438643563</v>
      </c>
      <c r="AE45" s="132">
        <f t="shared" si="34"/>
        <v>311.26242940411129</v>
      </c>
      <c r="AF45" s="286" t="str">
        <f t="shared" si="34"/>
        <v>n.a.</v>
      </c>
      <c r="AG45" s="287" t="str">
        <f t="shared" si="34"/>
        <v>n.a.</v>
      </c>
      <c r="AH45" s="287" t="str">
        <f t="shared" si="34"/>
        <v>n.a.</v>
      </c>
      <c r="AI45" s="287" t="str">
        <f t="shared" si="34"/>
        <v>n.a.</v>
      </c>
      <c r="AJ45" s="287" t="str">
        <f t="shared" si="34"/>
        <v>n.a.</v>
      </c>
      <c r="AK45" s="287" t="str">
        <f t="shared" si="34"/>
        <v>n.a.</v>
      </c>
      <c r="AL45" s="288" t="str">
        <f t="shared" si="34"/>
        <v>n.a.</v>
      </c>
    </row>
    <row r="46" spans="2:39" x14ac:dyDescent="0.25">
      <c r="B46" s="135" t="s">
        <v>126</v>
      </c>
      <c r="C46" s="302">
        <f t="shared" si="33"/>
        <v>0</v>
      </c>
      <c r="D46" s="302">
        <f t="shared" si="33"/>
        <v>0.11417111896919656</v>
      </c>
      <c r="E46" s="302">
        <f t="shared" si="33"/>
        <v>0.1325273108216356</v>
      </c>
      <c r="F46" s="302">
        <f t="shared" si="33"/>
        <v>0.14725483180900739</v>
      </c>
      <c r="G46" s="302">
        <f t="shared" si="33"/>
        <v>0.12467984542857681</v>
      </c>
      <c r="H46" s="302">
        <f t="shared" si="33"/>
        <v>0.1008152969864583</v>
      </c>
      <c r="I46" s="302">
        <f t="shared" si="33"/>
        <v>0.12184940134904731</v>
      </c>
      <c r="J46" s="302">
        <f t="shared" si="33"/>
        <v>0.13476107215759631</v>
      </c>
      <c r="K46" s="302">
        <f t="shared" si="33"/>
        <v>0.15444399424257693</v>
      </c>
      <c r="L46" s="302">
        <f t="shared" si="33"/>
        <v>0.13694514404161118</v>
      </c>
      <c r="M46" s="302">
        <f t="shared" si="33"/>
        <v>0.17082734906080421</v>
      </c>
      <c r="N46" s="302">
        <f t="shared" si="33"/>
        <v>0.15549722471080177</v>
      </c>
      <c r="O46" s="302">
        <f t="shared" si="33"/>
        <v>0.1565221626262164</v>
      </c>
      <c r="P46" s="143"/>
      <c r="Q46" s="143">
        <f t="shared" si="24"/>
        <v>0.1565221626262164</v>
      </c>
      <c r="R46" s="143">
        <f>R20</f>
        <v>0.11597383081939984</v>
      </c>
      <c r="S46" s="143"/>
      <c r="T46" s="143">
        <f t="shared" si="25"/>
        <v>0.11597383081939984</v>
      </c>
      <c r="U46" s="143">
        <f>U20</f>
        <v>0.13561291602086695</v>
      </c>
      <c r="V46" s="143"/>
      <c r="W46" s="143">
        <f t="shared" si="26"/>
        <v>0.13561291602086695</v>
      </c>
      <c r="X46" s="143">
        <f>X20</f>
        <v>0.14704569647990798</v>
      </c>
      <c r="Y46" s="143"/>
      <c r="Z46" s="143">
        <f t="shared" si="27"/>
        <v>0.14704569647990798</v>
      </c>
      <c r="AA46" s="143">
        <f t="shared" si="34"/>
        <v>0.16201106694547127</v>
      </c>
      <c r="AB46" s="143">
        <f t="shared" si="34"/>
        <v>9.1008328614354539E-2</v>
      </c>
      <c r="AC46" s="143">
        <f t="shared" si="34"/>
        <v>7.1999546720318705E-2</v>
      </c>
      <c r="AD46" s="143">
        <f t="shared" si="34"/>
        <v>0.10739958575844731</v>
      </c>
      <c r="AE46" s="143">
        <f t="shared" si="34"/>
        <v>7.6500421541147695E-2</v>
      </c>
      <c r="AF46" s="286" t="str">
        <f t="shared" si="34"/>
        <v>n.a.</v>
      </c>
      <c r="AG46" s="287" t="str">
        <f t="shared" si="34"/>
        <v>n.a.</v>
      </c>
      <c r="AH46" s="287" t="str">
        <f t="shared" si="34"/>
        <v>n.a.</v>
      </c>
      <c r="AI46" s="287" t="str">
        <f t="shared" si="34"/>
        <v>n.a.</v>
      </c>
      <c r="AJ46" s="287" t="str">
        <f t="shared" si="34"/>
        <v>n.a.</v>
      </c>
      <c r="AK46" s="287" t="str">
        <f t="shared" si="34"/>
        <v>n.a.</v>
      </c>
      <c r="AL46" s="288" t="str">
        <f t="shared" si="34"/>
        <v>n.a.</v>
      </c>
    </row>
    <row r="47" spans="2:39" x14ac:dyDescent="0.25">
      <c r="B47" s="181"/>
      <c r="C47" s="303"/>
      <c r="D47" s="303"/>
      <c r="E47" s="303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89"/>
      <c r="AG47" s="290"/>
      <c r="AH47" s="290"/>
      <c r="AI47" s="290"/>
      <c r="AJ47" s="290"/>
      <c r="AK47" s="290"/>
      <c r="AL47" s="291"/>
    </row>
    <row r="48" spans="2:39" s="82" customFormat="1" ht="12" thickBot="1" x14ac:dyDescent="0.3">
      <c r="B48" s="147" t="s">
        <v>114</v>
      </c>
      <c r="C48" s="149" t="s">
        <v>92</v>
      </c>
      <c r="D48" s="149" t="s">
        <v>93</v>
      </c>
      <c r="E48" s="149" t="s">
        <v>44</v>
      </c>
      <c r="F48" s="149" t="s">
        <v>45</v>
      </c>
      <c r="G48" s="149" t="s">
        <v>46</v>
      </c>
      <c r="H48" s="149" t="s">
        <v>47</v>
      </c>
      <c r="I48" s="149" t="s">
        <v>48</v>
      </c>
      <c r="J48" s="149" t="s">
        <v>49</v>
      </c>
      <c r="K48" s="149" t="s">
        <v>50</v>
      </c>
      <c r="L48" s="149" t="s">
        <v>51</v>
      </c>
      <c r="M48" s="149" t="s">
        <v>52</v>
      </c>
      <c r="N48" s="149" t="s">
        <v>53</v>
      </c>
      <c r="O48" s="149" t="s">
        <v>54</v>
      </c>
      <c r="P48" s="149" t="s">
        <v>55</v>
      </c>
      <c r="Q48" s="149" t="s">
        <v>54</v>
      </c>
      <c r="R48" s="149" t="s">
        <v>57</v>
      </c>
      <c r="S48" s="149" t="s">
        <v>55</v>
      </c>
      <c r="T48" s="149" t="s">
        <v>57</v>
      </c>
      <c r="U48" s="149" t="s">
        <v>59</v>
      </c>
      <c r="V48" s="149" t="s">
        <v>55</v>
      </c>
      <c r="W48" s="149" t="s">
        <v>59</v>
      </c>
      <c r="X48" s="149" t="s">
        <v>61</v>
      </c>
      <c r="Y48" s="149" t="s">
        <v>55</v>
      </c>
      <c r="Z48" s="149" t="s">
        <v>61</v>
      </c>
      <c r="AA48" s="149" t="s">
        <v>7</v>
      </c>
      <c r="AB48" s="149" t="s">
        <v>63</v>
      </c>
      <c r="AC48" s="149" t="s">
        <v>64</v>
      </c>
      <c r="AD48" s="149" t="s">
        <v>65</v>
      </c>
      <c r="AE48" s="149" t="s">
        <v>6</v>
      </c>
      <c r="AF48" s="336" t="s">
        <v>94</v>
      </c>
      <c r="AG48" s="149" t="s">
        <v>67</v>
      </c>
      <c r="AH48" s="149" t="s">
        <v>68</v>
      </c>
      <c r="AI48" s="149" t="s">
        <v>69</v>
      </c>
      <c r="AJ48" s="149" t="s">
        <v>103</v>
      </c>
      <c r="AK48" s="149" t="s">
        <v>69</v>
      </c>
      <c r="AL48" s="337" t="s">
        <v>71</v>
      </c>
    </row>
    <row r="49" spans="2:38" x14ac:dyDescent="0.25">
      <c r="B49" s="135" t="s">
        <v>143</v>
      </c>
      <c r="C49" s="132">
        <v>4863.4303221999999</v>
      </c>
      <c r="D49" s="132">
        <v>4688.3987423199997</v>
      </c>
      <c r="E49" s="132">
        <v>5350.8022770500002</v>
      </c>
      <c r="F49" s="132">
        <v>5686.9121417400002</v>
      </c>
      <c r="G49" s="132">
        <v>5346.553939389999</v>
      </c>
      <c r="H49" s="132">
        <v>5754.3382642100005</v>
      </c>
      <c r="I49" s="132">
        <v>6281.9540408500006</v>
      </c>
      <c r="J49" s="132">
        <v>7207.3988839699996</v>
      </c>
      <c r="K49" s="132">
        <v>6073.4269228999992</v>
      </c>
      <c r="L49" s="132">
        <v>6170.9786572799994</v>
      </c>
      <c r="M49" s="132">
        <v>6554.4858295799995</v>
      </c>
      <c r="N49" s="132">
        <v>6488.1778521899996</v>
      </c>
      <c r="O49" s="132">
        <v>6142.5012409599994</v>
      </c>
      <c r="P49" s="132"/>
      <c r="Q49" s="132">
        <f>O49</f>
        <v>6142.5012409599994</v>
      </c>
      <c r="R49" s="132">
        <v>6373.6681935400002</v>
      </c>
      <c r="S49" s="132"/>
      <c r="T49" s="132">
        <f>R49</f>
        <v>6373.6681935400002</v>
      </c>
      <c r="U49" s="132">
        <v>6110.1505339699997</v>
      </c>
      <c r="V49" s="132"/>
      <c r="W49" s="132">
        <f>U49</f>
        <v>6110.1505339699997</v>
      </c>
      <c r="X49" s="132">
        <v>6868.3638961300003</v>
      </c>
      <c r="Y49" s="132"/>
      <c r="Z49" s="132">
        <f>X49</f>
        <v>6868.3638961300003</v>
      </c>
      <c r="AA49" s="132">
        <v>7142.556353949999</v>
      </c>
      <c r="AB49" s="132">
        <v>7777.8454602000011</v>
      </c>
      <c r="AC49" s="132">
        <v>8401.63109859</v>
      </c>
      <c r="AD49" s="132">
        <v>8963.5136241700002</v>
      </c>
      <c r="AE49" s="132">
        <v>9212.2014804800001</v>
      </c>
      <c r="AF49" s="137">
        <f>SUM(C49:F49)</f>
        <v>20589.543483310001</v>
      </c>
      <c r="AG49" s="132">
        <f>SUM(G49:J49)</f>
        <v>24590.24512842</v>
      </c>
      <c r="AH49" s="132">
        <f>SUM(K49:N49)</f>
        <v>25287.069261949997</v>
      </c>
      <c r="AI49" s="132">
        <f>SUM(O49,R49,U49,X49)</f>
        <v>25494.683864600003</v>
      </c>
      <c r="AJ49" s="132"/>
      <c r="AK49" s="132">
        <f>AI49</f>
        <v>25494.683864600003</v>
      </c>
      <c r="AL49" s="140">
        <f>SUM(AA49:AD49)</f>
        <v>32285.546536909998</v>
      </c>
    </row>
    <row r="50" spans="2:38" x14ac:dyDescent="0.25">
      <c r="B50" s="135" t="s">
        <v>73</v>
      </c>
      <c r="C50" s="132">
        <v>4855.4697973500006</v>
      </c>
      <c r="D50" s="132">
        <v>4680.58574271</v>
      </c>
      <c r="E50" s="132">
        <v>5342.58942604</v>
      </c>
      <c r="F50" s="132">
        <v>5677.3833149700004</v>
      </c>
      <c r="G50" s="132">
        <v>5336.92757643</v>
      </c>
      <c r="H50" s="132">
        <v>5744.0836624899994</v>
      </c>
      <c r="I50" s="132">
        <v>6267.8277700100007</v>
      </c>
      <c r="J50" s="132">
        <v>7197.6950086300003</v>
      </c>
      <c r="K50" s="132">
        <v>6058.5158545000004</v>
      </c>
      <c r="L50" s="132">
        <v>6156.5065267</v>
      </c>
      <c r="M50" s="132">
        <v>6539.4049906700002</v>
      </c>
      <c r="N50" s="132">
        <v>6473.5009700599994</v>
      </c>
      <c r="O50" s="132">
        <v>6124.2989497200006</v>
      </c>
      <c r="P50" s="132"/>
      <c r="Q50" s="132">
        <f t="shared" ref="Q50:Q53" si="35">O50</f>
        <v>6124.2989497200006</v>
      </c>
      <c r="R50" s="132">
        <v>6356.7499654299982</v>
      </c>
      <c r="S50" s="132"/>
      <c r="T50" s="132">
        <f t="shared" ref="T50:T53" si="36">R50</f>
        <v>6356.7499654299982</v>
      </c>
      <c r="U50" s="132">
        <v>6091.8721579700004</v>
      </c>
      <c r="V50" s="132"/>
      <c r="W50" s="132">
        <f t="shared" ref="W50:W53" si="37">U50</f>
        <v>6091.8721579700004</v>
      </c>
      <c r="X50" s="132">
        <v>6850.1074709400009</v>
      </c>
      <c r="Y50" s="132"/>
      <c r="Z50" s="132">
        <f t="shared" ref="Z50:Z53" si="38">X50</f>
        <v>6850.1074709400009</v>
      </c>
      <c r="AA50" s="132">
        <v>7116.2982503699986</v>
      </c>
      <c r="AB50" s="132">
        <v>7758.5875978600006</v>
      </c>
      <c r="AC50" s="132">
        <v>8379.9432619100007</v>
      </c>
      <c r="AD50" s="132">
        <v>8943.0225885700002</v>
      </c>
      <c r="AE50" s="132">
        <v>9190.9117071700002</v>
      </c>
      <c r="AF50" s="137">
        <f>SUM(C50:F50)</f>
        <v>20556.028281070001</v>
      </c>
      <c r="AG50" s="132">
        <f>SUM(G50:J50)</f>
        <v>24546.534017559999</v>
      </c>
      <c r="AH50" s="132">
        <f>SUM(K50:N50)</f>
        <v>25227.928341929997</v>
      </c>
      <c r="AI50" s="132">
        <f>SUM(O50,R50,U50,X50)</f>
        <v>25423.028544060002</v>
      </c>
      <c r="AJ50" s="132"/>
      <c r="AK50" s="132">
        <f t="shared" ref="AK50:AK52" si="39">AI50</f>
        <v>25423.028544060002</v>
      </c>
      <c r="AL50" s="140">
        <f>SUM(AA50:AD50)</f>
        <v>32197.851698710001</v>
      </c>
    </row>
    <row r="51" spans="2:38" x14ac:dyDescent="0.25">
      <c r="B51" s="306" t="s">
        <v>115</v>
      </c>
      <c r="C51" s="132">
        <v>2854.2783384074496</v>
      </c>
      <c r="D51" s="132">
        <v>2939.4898250327437</v>
      </c>
      <c r="E51" s="132">
        <v>3034.2795280001801</v>
      </c>
      <c r="F51" s="132">
        <v>3278.8289097171764</v>
      </c>
      <c r="G51" s="132">
        <v>3329.4032382400001</v>
      </c>
      <c r="H51" s="132">
        <v>3415.2001999908002</v>
      </c>
      <c r="I51" s="132">
        <v>3206.1125749100006</v>
      </c>
      <c r="J51" s="132">
        <v>3698.0240355255469</v>
      </c>
      <c r="K51" s="132">
        <v>2793.1623690000001</v>
      </c>
      <c r="L51" s="132">
        <v>2819.0008560000001</v>
      </c>
      <c r="M51" s="132">
        <v>2991.538693</v>
      </c>
      <c r="N51" s="132">
        <v>3116.7021439999999</v>
      </c>
      <c r="O51" s="132">
        <v>3227.122938</v>
      </c>
      <c r="P51" s="132"/>
      <c r="Q51" s="132">
        <f t="shared" si="35"/>
        <v>3227.122938</v>
      </c>
      <c r="R51" s="132">
        <v>3179.0962850000001</v>
      </c>
      <c r="S51" s="132"/>
      <c r="T51" s="132">
        <f t="shared" si="36"/>
        <v>3179.0962850000001</v>
      </c>
      <c r="U51" s="132">
        <v>3164.4127250000001</v>
      </c>
      <c r="V51" s="132"/>
      <c r="W51" s="132">
        <f t="shared" si="37"/>
        <v>3164.4127250000001</v>
      </c>
      <c r="X51" s="132">
        <v>3376.1891559999999</v>
      </c>
      <c r="Y51" s="132"/>
      <c r="Z51" s="132">
        <f t="shared" si="38"/>
        <v>3376.1891559999999</v>
      </c>
      <c r="AA51" s="132">
        <v>3329.027521</v>
      </c>
      <c r="AB51" s="132">
        <v>3579.4894308951002</v>
      </c>
      <c r="AC51" s="132">
        <v>3772.7436753420952</v>
      </c>
      <c r="AD51" s="132">
        <v>3890.7839962365856</v>
      </c>
      <c r="AE51" s="132">
        <v>4173.0051863823046</v>
      </c>
      <c r="AF51" s="137">
        <f>SUM(C51:F51)</f>
        <v>12106.87660115755</v>
      </c>
      <c r="AG51" s="132">
        <f>SUM(G51:J51)</f>
        <v>13648.740048666348</v>
      </c>
      <c r="AH51" s="132">
        <f>SUM(K51:N51)</f>
        <v>11720.404062000001</v>
      </c>
      <c r="AI51" s="132">
        <f>SUM(O51,R51,U51,X51)</f>
        <v>12946.821104000001</v>
      </c>
      <c r="AJ51" s="132"/>
      <c r="AK51" s="132">
        <f t="shared" si="39"/>
        <v>12946.821104000001</v>
      </c>
      <c r="AL51" s="140">
        <f>SUM(AA51:AD51)</f>
        <v>14572.044623473781</v>
      </c>
    </row>
    <row r="52" spans="2:38" x14ac:dyDescent="0.25">
      <c r="B52" s="306" t="s">
        <v>116</v>
      </c>
      <c r="C52" s="154">
        <f>C26</f>
        <v>0.23214899999999999</v>
      </c>
      <c r="D52" s="154">
        <f t="shared" ref="D52:N52" si="40">D26</f>
        <v>0.24801999999999999</v>
      </c>
      <c r="E52" s="154">
        <f t="shared" si="40"/>
        <v>0.261737</v>
      </c>
      <c r="F52" s="154">
        <f t="shared" si="40"/>
        <v>0.27920800000000001</v>
      </c>
      <c r="G52" s="154">
        <f t="shared" si="40"/>
        <v>0.29259800000000002</v>
      </c>
      <c r="H52" s="154">
        <f t="shared" si="40"/>
        <v>0.297072</v>
      </c>
      <c r="I52" s="154">
        <f t="shared" si="40"/>
        <v>0.307836</v>
      </c>
      <c r="J52" s="154">
        <f t="shared" si="40"/>
        <v>0.33210699999999999</v>
      </c>
      <c r="K52" s="154">
        <f t="shared" si="40"/>
        <v>0.34767500000000001</v>
      </c>
      <c r="L52" s="154">
        <f t="shared" si="40"/>
        <v>0.35211500000000001</v>
      </c>
      <c r="M52" s="154">
        <f t="shared" si="40"/>
        <v>0.36602200000000001</v>
      </c>
      <c r="N52" s="154">
        <f t="shared" si="40"/>
        <v>0.38549899999999998</v>
      </c>
      <c r="O52" s="158">
        <v>0.39754299999999998</v>
      </c>
      <c r="P52" s="158"/>
      <c r="Q52" s="158">
        <f t="shared" si="35"/>
        <v>0.39754299999999998</v>
      </c>
      <c r="R52" s="158">
        <v>0.406723</v>
      </c>
      <c r="S52" s="158"/>
      <c r="T52" s="158">
        <f t="shared" si="36"/>
        <v>0.406723</v>
      </c>
      <c r="U52" s="158">
        <v>0.40183799999999997</v>
      </c>
      <c r="V52" s="158"/>
      <c r="W52" s="158">
        <f t="shared" si="37"/>
        <v>0.40183799999999997</v>
      </c>
      <c r="X52" s="158">
        <v>0.41662700000000003</v>
      </c>
      <c r="Y52" s="158"/>
      <c r="Z52" s="158">
        <f t="shared" si="38"/>
        <v>0.41662700000000003</v>
      </c>
      <c r="AA52" s="158">
        <v>0.44057099999999999</v>
      </c>
      <c r="AB52" s="158">
        <v>0.46297700000000003</v>
      </c>
      <c r="AC52" s="158">
        <v>0.46298</v>
      </c>
      <c r="AD52" s="158">
        <v>0.48805100000000001</v>
      </c>
      <c r="AE52" s="158">
        <v>0.50671200000000005</v>
      </c>
      <c r="AF52" s="155">
        <f>AF26</f>
        <v>0.27920800000000001</v>
      </c>
      <c r="AG52" s="154">
        <f>AG26</f>
        <v>0.33210699999999999</v>
      </c>
      <c r="AH52" s="154">
        <f>N52</f>
        <v>0.38549899999999998</v>
      </c>
      <c r="AI52" s="154">
        <f>X52</f>
        <v>0.41662700000000003</v>
      </c>
      <c r="AJ52" s="154"/>
      <c r="AK52" s="154">
        <f t="shared" si="39"/>
        <v>0.41662700000000003</v>
      </c>
      <c r="AL52" s="156">
        <f>AD52</f>
        <v>0.48805100000000001</v>
      </c>
    </row>
    <row r="53" spans="2:38" ht="12" thickBot="1" x14ac:dyDescent="0.3">
      <c r="B53" s="209" t="s">
        <v>154</v>
      </c>
      <c r="C53" s="294">
        <f>C51/((C52))/3</f>
        <v>4098.3424990091853</v>
      </c>
      <c r="D53" s="307">
        <f t="shared" ref="D53:M53" si="41">D51/((C52+D52)/2)/3</f>
        <v>4081.1878387716879</v>
      </c>
      <c r="E53" s="307">
        <f t="shared" si="41"/>
        <v>3968.269231549124</v>
      </c>
      <c r="F53" s="282">
        <f t="shared" si="41"/>
        <v>4040.8654111073229</v>
      </c>
      <c r="G53" s="282">
        <f t="shared" si="41"/>
        <v>3881.7398887501472</v>
      </c>
      <c r="H53" s="282">
        <f t="shared" si="41"/>
        <v>3861.1428991252737</v>
      </c>
      <c r="I53" s="294">
        <f t="shared" si="41"/>
        <v>3533.4437356975504</v>
      </c>
      <c r="J53" s="282">
        <f t="shared" si="41"/>
        <v>3852.4514792989867</v>
      </c>
      <c r="K53" s="282">
        <f t="shared" si="41"/>
        <v>2739.2726579991818</v>
      </c>
      <c r="L53" s="282">
        <f t="shared" si="41"/>
        <v>2685.568390517155</v>
      </c>
      <c r="M53" s="282">
        <f t="shared" si="41"/>
        <v>2777.1290556908593</v>
      </c>
      <c r="N53" s="282">
        <f>N51/((M52+N52)/2)/3</f>
        <v>2764.7949017170954</v>
      </c>
      <c r="O53" s="282">
        <f>O51/((N52+O52)/2)/3</f>
        <v>2747.5094464920144</v>
      </c>
      <c r="P53" s="282"/>
      <c r="Q53" s="282">
        <f t="shared" si="35"/>
        <v>2747.5094464920144</v>
      </c>
      <c r="R53" s="282">
        <f>R51/((Q52+R52)/2)/3</f>
        <v>2635.1947282781239</v>
      </c>
      <c r="S53" s="282"/>
      <c r="T53" s="282">
        <f t="shared" si="36"/>
        <v>2635.1947282781239</v>
      </c>
      <c r="U53" s="282">
        <f>U51/((T52+U52)/2)/3</f>
        <v>2609.0900789592047</v>
      </c>
      <c r="V53" s="282"/>
      <c r="W53" s="282">
        <f t="shared" si="37"/>
        <v>2609.0900789592047</v>
      </c>
      <c r="X53" s="282">
        <f>X51/((W52+X52)/2)/3</f>
        <v>2750.0171304413343</v>
      </c>
      <c r="Y53" s="282"/>
      <c r="Z53" s="282">
        <f t="shared" si="38"/>
        <v>2750.0171304413343</v>
      </c>
      <c r="AA53" s="282">
        <f>AA51/((Z52+AA52)/2)/3</f>
        <v>2589.0770634866935</v>
      </c>
      <c r="AB53" s="282">
        <f>AB51/((AA52+AB52)/2)/3</f>
        <v>2641.0619992113316</v>
      </c>
      <c r="AC53" s="282">
        <f>AC51/((AB52+AC52)/2)/3</f>
        <v>2716.2842877456119</v>
      </c>
      <c r="AD53" s="282">
        <f>AD51/((AC52+AD52)/2)/3</f>
        <v>2727.4147714333781</v>
      </c>
      <c r="AE53" s="282">
        <f>AE51/((AD52+AE52)/2)/3</f>
        <v>2796.6495110777173</v>
      </c>
      <c r="AF53" s="295" t="s">
        <v>144</v>
      </c>
      <c r="AG53" s="294" t="s">
        <v>144</v>
      </c>
      <c r="AH53" s="294" t="s">
        <v>144</v>
      </c>
      <c r="AI53" s="294" t="s">
        <v>144</v>
      </c>
      <c r="AJ53" s="294" t="s">
        <v>144</v>
      </c>
      <c r="AK53" s="294" t="s">
        <v>144</v>
      </c>
      <c r="AL53" s="296" t="s">
        <v>144</v>
      </c>
    </row>
    <row r="54" spans="2:38" ht="12" thickTop="1" x14ac:dyDescent="0.25">
      <c r="AA54" s="338"/>
      <c r="AB54" s="338"/>
      <c r="AC54" s="339"/>
      <c r="AD54" s="339"/>
      <c r="AE54" s="339"/>
      <c r="AF54" s="309"/>
    </row>
    <row r="55" spans="2:38" ht="12" thickBot="1" x14ac:dyDescent="0.3">
      <c r="B55" s="187" t="s">
        <v>130</v>
      </c>
      <c r="C55" s="233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5"/>
      <c r="AG55" s="235"/>
      <c r="AH55" s="235"/>
      <c r="AI55" s="235"/>
      <c r="AJ55" s="235"/>
      <c r="AK55" s="235"/>
      <c r="AL55" s="235"/>
    </row>
    <row r="56" spans="2:38" x14ac:dyDescent="0.25">
      <c r="B56" s="141" t="s">
        <v>131</v>
      </c>
      <c r="C56" s="192">
        <v>0</v>
      </c>
      <c r="D56" s="192">
        <v>0</v>
      </c>
      <c r="E56" s="192">
        <v>0.1797</v>
      </c>
      <c r="F56" s="192">
        <v>0.2928</v>
      </c>
      <c r="G56" s="192">
        <v>0.2928</v>
      </c>
      <c r="H56" s="192">
        <v>0.40300000000000002</v>
      </c>
      <c r="I56" s="192">
        <v>0.498</v>
      </c>
      <c r="J56" s="192">
        <v>0.498</v>
      </c>
      <c r="K56" s="192">
        <v>0.4985</v>
      </c>
      <c r="L56" s="192">
        <v>0.52</v>
      </c>
      <c r="M56" s="192">
        <v>0.56499999999999995</v>
      </c>
      <c r="N56" s="192">
        <v>0.60099999999999998</v>
      </c>
      <c r="O56" s="192">
        <v>0.60199999999999998</v>
      </c>
      <c r="P56" s="267"/>
      <c r="Q56" s="267"/>
      <c r="R56" s="192">
        <v>0.63</v>
      </c>
      <c r="S56" s="267"/>
      <c r="T56" s="267"/>
      <c r="U56" s="192">
        <v>0.65500000000000003</v>
      </c>
      <c r="V56" s="267"/>
      <c r="W56" s="267"/>
      <c r="X56" s="192">
        <v>0.68</v>
      </c>
      <c r="Y56" s="267"/>
      <c r="Z56" s="267"/>
      <c r="AA56" s="192">
        <v>0.69299999999999995</v>
      </c>
      <c r="AB56" s="192">
        <v>0.72150000000000003</v>
      </c>
      <c r="AC56" s="192">
        <v>0.752</v>
      </c>
      <c r="AD56" s="192">
        <v>0.76</v>
      </c>
      <c r="AE56" s="192">
        <v>0.76800000000000002</v>
      </c>
      <c r="AF56" s="236" t="s">
        <v>110</v>
      </c>
      <c r="AG56" s="269" t="s">
        <v>110</v>
      </c>
      <c r="AH56" s="269" t="s">
        <v>110</v>
      </c>
      <c r="AI56" s="269" t="s">
        <v>110</v>
      </c>
      <c r="AJ56" s="269"/>
      <c r="AK56" s="269" t="s">
        <v>110</v>
      </c>
      <c r="AL56" s="269" t="s">
        <v>110</v>
      </c>
    </row>
    <row r="57" spans="2:38" ht="12" thickBot="1" x14ac:dyDescent="0.3">
      <c r="B57" s="237" t="s">
        <v>148</v>
      </c>
      <c r="C57" s="238">
        <v>0</v>
      </c>
      <c r="D57" s="238">
        <v>0</v>
      </c>
      <c r="E57" s="238">
        <v>0</v>
      </c>
      <c r="F57" s="238">
        <v>0</v>
      </c>
      <c r="G57" s="238">
        <v>0</v>
      </c>
      <c r="H57" s="238">
        <v>0</v>
      </c>
      <c r="I57" s="238">
        <v>0</v>
      </c>
      <c r="J57" s="238">
        <v>0</v>
      </c>
      <c r="K57" s="238">
        <v>0</v>
      </c>
      <c r="L57" s="238">
        <v>0</v>
      </c>
      <c r="M57" s="238">
        <v>0</v>
      </c>
      <c r="N57" s="238">
        <v>0</v>
      </c>
      <c r="O57" s="238">
        <v>0.31</v>
      </c>
      <c r="P57" s="211"/>
      <c r="Q57" s="211"/>
      <c r="R57" s="238">
        <v>0.34</v>
      </c>
      <c r="S57" s="211"/>
      <c r="T57" s="211"/>
      <c r="U57" s="238">
        <v>0.39</v>
      </c>
      <c r="V57" s="211"/>
      <c r="W57" s="211"/>
      <c r="X57" s="238">
        <v>0.41</v>
      </c>
      <c r="Y57" s="211"/>
      <c r="Z57" s="211"/>
      <c r="AA57" s="238">
        <v>0.44</v>
      </c>
      <c r="AB57" s="238">
        <v>0.44</v>
      </c>
      <c r="AC57" s="238">
        <v>0.4421545510224309</v>
      </c>
      <c r="AD57" s="238">
        <v>0.49975453937010961</v>
      </c>
      <c r="AE57" s="238">
        <v>0.56256844814440843</v>
      </c>
      <c r="AF57" s="230" t="s">
        <v>110</v>
      </c>
      <c r="AG57" s="213" t="s">
        <v>110</v>
      </c>
      <c r="AH57" s="213" t="s">
        <v>110</v>
      </c>
      <c r="AI57" s="213" t="s">
        <v>110</v>
      </c>
      <c r="AJ57" s="213"/>
      <c r="AK57" s="213" t="s">
        <v>110</v>
      </c>
      <c r="AL57" s="213" t="s">
        <v>110</v>
      </c>
    </row>
    <row r="58" spans="2:38" ht="12" thickTop="1" x14ac:dyDescent="0.25">
      <c r="B58" s="82"/>
      <c r="C58" s="239"/>
      <c r="D58" s="232"/>
      <c r="E58" s="232"/>
      <c r="F58" s="232"/>
      <c r="G58" s="232"/>
      <c r="H58" s="232"/>
      <c r="I58" s="232"/>
      <c r="J58" s="232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40"/>
      <c r="AG58" s="240"/>
      <c r="AH58" s="240"/>
      <c r="AI58" s="240"/>
      <c r="AJ58" s="240"/>
      <c r="AK58" s="240"/>
      <c r="AL58" s="143"/>
    </row>
    <row r="59" spans="2:38" x14ac:dyDescent="0.25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244"/>
      <c r="AC59" s="244"/>
      <c r="AD59" s="244"/>
      <c r="AE59" s="244"/>
      <c r="AF59" s="82"/>
      <c r="AG59" s="82"/>
      <c r="AH59" s="82"/>
      <c r="AI59" s="82"/>
      <c r="AJ59" s="82"/>
      <c r="AK59" s="82"/>
      <c r="AL59" s="82"/>
    </row>
    <row r="60" spans="2:38" ht="25" x14ac:dyDescent="0.25">
      <c r="B60" s="76" t="s">
        <v>157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</row>
    <row r="61" spans="2:38" x14ac:dyDescent="0.25">
      <c r="B61" s="197"/>
      <c r="W61" s="185"/>
      <c r="Z61" s="185"/>
      <c r="AA61" s="185"/>
      <c r="AB61" s="185"/>
      <c r="AC61" s="185"/>
      <c r="AD61" s="185"/>
      <c r="AE61" s="185"/>
    </row>
    <row r="62" spans="2:38" x14ac:dyDescent="0.25">
      <c r="B62" s="82" t="s">
        <v>133</v>
      </c>
    </row>
    <row r="63" spans="2:38" x14ac:dyDescent="0.25">
      <c r="B63" s="197"/>
    </row>
    <row r="67" spans="3:31" x14ac:dyDescent="0.25">
      <c r="C67" s="139">
        <v>355.20573333333328</v>
      </c>
      <c r="D67" s="139">
        <v>335.6115666666667</v>
      </c>
      <c r="E67" s="139">
        <v>341.30983333333336</v>
      </c>
      <c r="F67" s="139">
        <v>335.11706666666669</v>
      </c>
      <c r="G67" s="139">
        <v>322.44326666666666</v>
      </c>
      <c r="H67" s="139">
        <v>315.01706666666672</v>
      </c>
      <c r="I67" s="139">
        <v>332.25056666666666</v>
      </c>
      <c r="J67" s="139">
        <v>334.3803666666667</v>
      </c>
      <c r="K67" s="139">
        <v>323.26266666666669</v>
      </c>
      <c r="L67" s="139">
        <v>329.64599999999996</v>
      </c>
      <c r="M67" s="139">
        <v>356.01639999999998</v>
      </c>
      <c r="N67" s="139">
        <v>370.13013333333333</v>
      </c>
      <c r="O67" s="340">
        <v>378.08086666666668</v>
      </c>
      <c r="P67" s="340"/>
      <c r="Q67" s="340"/>
      <c r="R67" s="340">
        <v>380.52619999999996</v>
      </c>
      <c r="S67" s="340"/>
      <c r="T67" s="340"/>
      <c r="U67" s="340">
        <v>385.84936666666664</v>
      </c>
      <c r="V67" s="340"/>
      <c r="W67" s="340"/>
      <c r="X67" s="340">
        <v>386.9049</v>
      </c>
      <c r="AA67" s="201">
        <f>Index!E11</f>
        <v>419.89400000000001</v>
      </c>
      <c r="AB67" s="201">
        <v>418.17200000000003</v>
      </c>
      <c r="AC67" s="201">
        <v>417.88740000000001</v>
      </c>
      <c r="AD67" s="201">
        <v>426.17680000000001</v>
      </c>
      <c r="AE67" s="201">
        <f>Index!E11</f>
        <v>419.89400000000001</v>
      </c>
    </row>
  </sheetData>
  <hyperlinks>
    <hyperlink ref="B2" location="Index!A1" display="index page" xr:uid="{801103DB-E744-455A-98B3-0CCE2F2C9BE2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D70D-3033-419A-961A-6D54436E9B83}">
  <sheetPr>
    <pageSetUpPr fitToPage="1"/>
  </sheetPr>
  <dimension ref="B1:AM34"/>
  <sheetViews>
    <sheetView showGridLines="0" tabSelected="1" view="pageBreakPreview" zoomScale="120" zoomScaleNormal="100" zoomScaleSheetLayoutView="120" workbookViewId="0">
      <pane xSplit="2" ySplit="5" topLeftCell="W6" activePane="bottomRight" state="frozen"/>
      <selection activeCell="K31" sqref="K31"/>
      <selection pane="topRight" activeCell="K31" sqref="K31"/>
      <selection pane="bottomLeft" activeCell="K31" sqref="K31"/>
      <selection pane="bottomRight" activeCell="AC19" sqref="AC19"/>
    </sheetView>
  </sheetViews>
  <sheetFormatPr defaultColWidth="9.1796875" defaultRowHeight="14.5" outlineLevelRow="1" outlineLevelCol="1" x14ac:dyDescent="0.35"/>
  <cols>
    <col min="1" max="1" width="1.54296875" style="32" customWidth="1"/>
    <col min="2" max="2" width="57.7265625" customWidth="1"/>
    <col min="3" max="3" width="12.54296875" style="32" hidden="1" customWidth="1" outlineLevel="1"/>
    <col min="4" max="4" width="12.26953125" style="32" hidden="1" customWidth="1" outlineLevel="1"/>
    <col min="5" max="14" width="10.54296875" style="32" hidden="1" customWidth="1" outlineLevel="1"/>
    <col min="15" max="15" width="10.54296875" style="32" customWidth="1" collapsed="1"/>
    <col min="16" max="31" width="10.54296875" style="32" customWidth="1"/>
    <col min="32" max="32" width="14.54296875" style="32" hidden="1" customWidth="1" outlineLevel="1"/>
    <col min="33" max="33" width="10.54296875" style="32" hidden="1" customWidth="1" outlineLevel="1"/>
    <col min="34" max="34" width="9.81640625" style="32" hidden="1" customWidth="1" outlineLevel="1"/>
    <col min="35" max="35" width="9.81640625" style="32" customWidth="1" collapsed="1"/>
    <col min="36" max="39" width="9.81640625" style="32" customWidth="1"/>
    <col min="40" max="16384" width="9.1796875" style="32"/>
  </cols>
  <sheetData>
    <row r="1" spans="2:39" x14ac:dyDescent="0.35">
      <c r="B1" s="30" t="s">
        <v>0</v>
      </c>
      <c r="C1" s="28"/>
      <c r="D1" s="28"/>
      <c r="E1" s="28"/>
      <c r="F1" s="28"/>
      <c r="G1" s="31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2:39" ht="10.15" customHeight="1" x14ac:dyDescent="0.35">
      <c r="B2" s="34" t="s">
        <v>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2:39" x14ac:dyDescent="0.35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2:39" ht="28.9" customHeight="1" thickBot="1" x14ac:dyDescent="0.4">
      <c r="B4" s="36" t="s">
        <v>40</v>
      </c>
      <c r="C4" s="37"/>
      <c r="D4" s="37"/>
      <c r="E4" s="37"/>
      <c r="F4" s="37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2:39" ht="24" thickTop="1" thickBot="1" x14ac:dyDescent="0.4">
      <c r="B5" s="38" t="s">
        <v>41</v>
      </c>
      <c r="C5" s="39" t="s">
        <v>42</v>
      </c>
      <c r="D5" s="39" t="s">
        <v>43</v>
      </c>
      <c r="E5" s="40" t="s">
        <v>44</v>
      </c>
      <c r="F5" s="40" t="s">
        <v>45</v>
      </c>
      <c r="G5" s="40" t="s">
        <v>46</v>
      </c>
      <c r="H5" s="40" t="s">
        <v>47</v>
      </c>
      <c r="I5" s="40" t="s">
        <v>48</v>
      </c>
      <c r="J5" s="40" t="s">
        <v>49</v>
      </c>
      <c r="K5" s="40" t="s">
        <v>50</v>
      </c>
      <c r="L5" s="40" t="s">
        <v>51</v>
      </c>
      <c r="M5" s="40" t="s">
        <v>52</v>
      </c>
      <c r="N5" s="40" t="s">
        <v>53</v>
      </c>
      <c r="O5" s="40" t="s">
        <v>54</v>
      </c>
      <c r="P5" s="41" t="s">
        <v>55</v>
      </c>
      <c r="Q5" s="41" t="s">
        <v>56</v>
      </c>
      <c r="R5" s="40" t="s">
        <v>57</v>
      </c>
      <c r="S5" s="41" t="s">
        <v>55</v>
      </c>
      <c r="T5" s="41" t="s">
        <v>58</v>
      </c>
      <c r="U5" s="40" t="s">
        <v>59</v>
      </c>
      <c r="V5" s="41" t="s">
        <v>55</v>
      </c>
      <c r="W5" s="41" t="s">
        <v>60</v>
      </c>
      <c r="X5" s="40" t="s">
        <v>61</v>
      </c>
      <c r="Y5" s="41" t="s">
        <v>55</v>
      </c>
      <c r="Z5" s="41" t="s">
        <v>62</v>
      </c>
      <c r="AA5" s="41" t="s">
        <v>7</v>
      </c>
      <c r="AB5" s="41" t="s">
        <v>63</v>
      </c>
      <c r="AC5" s="41" t="s">
        <v>64</v>
      </c>
      <c r="AD5" s="41" t="s">
        <v>65</v>
      </c>
      <c r="AE5" s="41" t="s">
        <v>6</v>
      </c>
      <c r="AF5" s="42" t="s">
        <v>66</v>
      </c>
      <c r="AG5" s="40" t="s">
        <v>67</v>
      </c>
      <c r="AH5" s="41" t="s">
        <v>68</v>
      </c>
      <c r="AI5" s="41" t="s">
        <v>69</v>
      </c>
      <c r="AJ5" s="43" t="s">
        <v>55</v>
      </c>
      <c r="AK5" s="43" t="s">
        <v>70</v>
      </c>
      <c r="AL5" s="349" t="s">
        <v>71</v>
      </c>
      <c r="AM5" s="28"/>
    </row>
    <row r="6" spans="2:39" s="53" customFormat="1" x14ac:dyDescent="0.35">
      <c r="B6" s="45" t="s">
        <v>72</v>
      </c>
      <c r="C6" s="46">
        <v>2095.5849624123989</v>
      </c>
      <c r="D6" s="46">
        <v>2227.9393929078819</v>
      </c>
      <c r="E6" s="47">
        <v>2361.9448359426497</v>
      </c>
      <c r="F6" s="47">
        <v>2354.14517146251</v>
      </c>
      <c r="G6" s="47">
        <v>2281.1336912462812</v>
      </c>
      <c r="H6" s="47">
        <v>2416.7399944948133</v>
      </c>
      <c r="I6" s="48">
        <v>2455.6917833860712</v>
      </c>
      <c r="J6" s="48">
        <v>2319.9989887314878</v>
      </c>
      <c r="K6" s="48">
        <v>2249.7510153509947</v>
      </c>
      <c r="L6" s="48">
        <v>2270.064246691089</v>
      </c>
      <c r="M6" s="48">
        <v>2316.8999544506228</v>
      </c>
      <c r="N6" s="48">
        <v>2249.1929516950231</v>
      </c>
      <c r="O6" s="48">
        <v>2124.4497761680996</v>
      </c>
      <c r="P6" s="48"/>
      <c r="Q6" s="48">
        <f>O6</f>
        <v>2124.4497761680996</v>
      </c>
      <c r="R6" s="49">
        <v>2260.6463941669472</v>
      </c>
      <c r="S6" s="48"/>
      <c r="T6" s="48">
        <f>R6</f>
        <v>2260.6463941669472</v>
      </c>
      <c r="U6" s="49">
        <v>2223.4820939267606</v>
      </c>
      <c r="V6" s="48"/>
      <c r="W6" s="48">
        <f>U6</f>
        <v>2223.4820939267606</v>
      </c>
      <c r="X6" s="49">
        <v>2254.0307255785742</v>
      </c>
      <c r="Y6" s="48"/>
      <c r="Z6" s="48">
        <f>X6</f>
        <v>2254.0307255785742</v>
      </c>
      <c r="AA6" s="50">
        <v>2096.5892712356135</v>
      </c>
      <c r="AB6" s="50">
        <v>1891.6334331216751</v>
      </c>
      <c r="AC6" s="50">
        <v>1993.2305485532347</v>
      </c>
      <c r="AD6" s="50">
        <v>1998.3088130471585</v>
      </c>
      <c r="AE6" s="50">
        <v>1988.9564730589357</v>
      </c>
      <c r="AF6" s="51">
        <v>9039.6143627902838</v>
      </c>
      <c r="AG6" s="48">
        <v>9473.5644578586544</v>
      </c>
      <c r="AH6" s="48">
        <v>9085.9081681877342</v>
      </c>
      <c r="AI6" s="48">
        <v>8862.6089898403861</v>
      </c>
      <c r="AJ6" s="48"/>
      <c r="AK6" s="48">
        <f>AI6</f>
        <v>8862.6089898403861</v>
      </c>
      <c r="AL6" s="48">
        <v>7979.7620659576887</v>
      </c>
      <c r="AM6" s="52"/>
    </row>
    <row r="7" spans="2:39" s="53" customFormat="1" x14ac:dyDescent="0.35">
      <c r="B7" s="45" t="s">
        <v>73</v>
      </c>
      <c r="C7" s="46">
        <v>2022.2273547165166</v>
      </c>
      <c r="D7" s="46">
        <v>2157.5020025320682</v>
      </c>
      <c r="E7" s="47">
        <v>2276.1537914993501</v>
      </c>
      <c r="F7" s="47">
        <v>2244.0335250297799</v>
      </c>
      <c r="G7" s="47">
        <v>2202.3597003297486</v>
      </c>
      <c r="H7" s="47">
        <v>2331.19080107642</v>
      </c>
      <c r="I7" s="48">
        <v>2357.6882930953689</v>
      </c>
      <c r="J7" s="48">
        <v>2214.4860475245355</v>
      </c>
      <c r="K7" s="48">
        <v>2156.4561140111159</v>
      </c>
      <c r="L7" s="48">
        <v>2135.4957752295732</v>
      </c>
      <c r="M7" s="48">
        <v>2151.1464098532838</v>
      </c>
      <c r="N7" s="48">
        <v>2082.9554856363002</v>
      </c>
      <c r="O7" s="48">
        <v>2004.8229690503692</v>
      </c>
      <c r="P7" s="48"/>
      <c r="Q7" s="48">
        <f>O7</f>
        <v>2004.8229690503692</v>
      </c>
      <c r="R7" s="48">
        <v>2080.4348167151061</v>
      </c>
      <c r="S7" s="48"/>
      <c r="T7" s="48">
        <f>R7</f>
        <v>2080.4348167151061</v>
      </c>
      <c r="U7" s="48">
        <v>2075.8692728946717</v>
      </c>
      <c r="V7" s="48"/>
      <c r="W7" s="48">
        <f>U7</f>
        <v>2075.8692728946717</v>
      </c>
      <c r="X7" s="48">
        <v>2078.9678691819631</v>
      </c>
      <c r="Y7" s="48"/>
      <c r="Z7" s="48">
        <f>X7</f>
        <v>2078.9678691819631</v>
      </c>
      <c r="AA7" s="50">
        <v>1977.7087065953174</v>
      </c>
      <c r="AB7" s="50">
        <v>1795.1773190356021</v>
      </c>
      <c r="AC7" s="50">
        <v>1855.8444192388226</v>
      </c>
      <c r="AD7" s="50">
        <v>1841.8328582409442</v>
      </c>
      <c r="AE7" s="50">
        <v>1852.557461358633</v>
      </c>
      <c r="AF7" s="51">
        <v>8699.9166738685872</v>
      </c>
      <c r="AG7" s="48">
        <v>9104.724842026073</v>
      </c>
      <c r="AH7" s="48">
        <v>8526.0537847302749</v>
      </c>
      <c r="AI7" s="48">
        <v>8240.094927842114</v>
      </c>
      <c r="AJ7" s="48"/>
      <c r="AK7" s="48">
        <f>AI7</f>
        <v>8240.094927842114</v>
      </c>
      <c r="AL7" s="48">
        <v>7470.5633031106936</v>
      </c>
      <c r="AM7" s="52"/>
    </row>
    <row r="8" spans="2:39" s="53" customFormat="1" x14ac:dyDescent="0.35">
      <c r="B8" s="45" t="s">
        <v>74</v>
      </c>
      <c r="C8" s="46">
        <v>778.15507122325346</v>
      </c>
      <c r="D8" s="46">
        <v>810.67991564769602</v>
      </c>
      <c r="E8" s="47">
        <v>895.86406036344806</v>
      </c>
      <c r="F8" s="47">
        <v>782.90165056384797</v>
      </c>
      <c r="G8" s="47">
        <v>861.16498121333109</v>
      </c>
      <c r="H8" s="47">
        <v>930.69179580967352</v>
      </c>
      <c r="I8" s="48">
        <v>1042.3561178221437</v>
      </c>
      <c r="J8" s="48">
        <v>752.54413931754596</v>
      </c>
      <c r="K8" s="48">
        <v>854.34529954499772</v>
      </c>
      <c r="L8" s="48">
        <v>856.52341930622981</v>
      </c>
      <c r="M8" s="48">
        <v>847.65013979664582</v>
      </c>
      <c r="N8" s="48">
        <v>714.20637795600214</v>
      </c>
      <c r="O8" s="48">
        <v>1298.2988462706855</v>
      </c>
      <c r="P8" s="50">
        <v>125.61673444551951</v>
      </c>
      <c r="Q8" s="48">
        <f>O8-P8-1</f>
        <v>1171.682111825166</v>
      </c>
      <c r="R8" s="48">
        <v>994.11821872008045</v>
      </c>
      <c r="S8" s="48">
        <v>128.60464377542371</v>
      </c>
      <c r="T8" s="48">
        <f>R8-S8-1</f>
        <v>864.51357494465674</v>
      </c>
      <c r="U8" s="48">
        <v>987.24412856653453</v>
      </c>
      <c r="V8" s="48">
        <v>128.86718209722741</v>
      </c>
      <c r="W8" s="48">
        <f>U8-V8</f>
        <v>858.37694646930709</v>
      </c>
      <c r="X8" s="48">
        <v>935.18500352034266</v>
      </c>
      <c r="Y8" s="48">
        <v>127.35116847623935</v>
      </c>
      <c r="Z8" s="48">
        <f>X8-Y8</f>
        <v>807.83383504410335</v>
      </c>
      <c r="AA8" s="50">
        <v>920.23941591271557</v>
      </c>
      <c r="AB8" s="50">
        <v>808.57015539585325</v>
      </c>
      <c r="AC8" s="50">
        <v>898.11468191559038</v>
      </c>
      <c r="AD8" s="50">
        <v>826.38385047626514</v>
      </c>
      <c r="AE8" s="50">
        <v>875.4374066284762</v>
      </c>
      <c r="AF8" s="51">
        <v>3267.6006980209495</v>
      </c>
      <c r="AG8" s="48">
        <v>3586.7570341626924</v>
      </c>
      <c r="AH8" s="48">
        <v>3272.7252366038761</v>
      </c>
      <c r="AI8" s="48">
        <v>4214.846197077648</v>
      </c>
      <c r="AJ8" s="48">
        <f>SUM(P8,S8,V8,Y8)</f>
        <v>510.43972879440997</v>
      </c>
      <c r="AK8" s="48">
        <f>AI8-AJ8</f>
        <v>3704.4064682832382</v>
      </c>
      <c r="AL8" s="48">
        <v>3453.3081037004226</v>
      </c>
      <c r="AM8" s="52"/>
    </row>
    <row r="9" spans="2:39" s="53" customFormat="1" x14ac:dyDescent="0.35">
      <c r="B9" s="45" t="s">
        <v>75</v>
      </c>
      <c r="C9" s="54">
        <v>0.37133071919329658</v>
      </c>
      <c r="D9" s="54">
        <v>0.36386982438943527</v>
      </c>
      <c r="E9" s="55">
        <v>0.3792908482580668</v>
      </c>
      <c r="F9" s="55">
        <v>0.33256302969517859</v>
      </c>
      <c r="G9" s="55">
        <f t="shared" ref="G9:AI9" si="0">G8/G6</f>
        <v>0.3775162256022091</v>
      </c>
      <c r="H9" s="55">
        <f t="shared" si="0"/>
        <v>0.38510216156050414</v>
      </c>
      <c r="I9" s="55">
        <f t="shared" si="0"/>
        <v>0.42446536852636846</v>
      </c>
      <c r="J9" s="55">
        <f t="shared" si="0"/>
        <v>0.32437261523506811</v>
      </c>
      <c r="K9" s="55">
        <f t="shared" si="0"/>
        <v>0.37975104521142178</v>
      </c>
      <c r="L9" s="55">
        <f t="shared" si="0"/>
        <v>0.37731241331813536</v>
      </c>
      <c r="M9" s="55">
        <f t="shared" si="0"/>
        <v>0.36585530513234371</v>
      </c>
      <c r="N9" s="55">
        <f t="shared" si="0"/>
        <v>0.31753895432482404</v>
      </c>
      <c r="O9" s="55">
        <f t="shared" si="0"/>
        <v>0.61112240017857511</v>
      </c>
      <c r="P9" s="54"/>
      <c r="Q9" s="55">
        <f t="shared" si="0"/>
        <v>0.55152262245452832</v>
      </c>
      <c r="R9" s="55">
        <f t="shared" si="0"/>
        <v>0.43974954300025104</v>
      </c>
      <c r="S9" s="55"/>
      <c r="T9" s="55">
        <f t="shared" ref="T9:U9" si="1">T8/T6</f>
        <v>0.38241875296168631</v>
      </c>
      <c r="U9" s="55">
        <f t="shared" si="1"/>
        <v>0.444008130878635</v>
      </c>
      <c r="V9" s="55"/>
      <c r="W9" s="55">
        <f t="shared" ref="W9:X9" si="2">W8/W6</f>
        <v>0.38605075741958333</v>
      </c>
      <c r="X9" s="55">
        <f t="shared" si="2"/>
        <v>0.41489452335672816</v>
      </c>
      <c r="Y9" s="55"/>
      <c r="Z9" s="55">
        <f t="shared" ref="Z9:AE9" si="3">Z8/Z6</f>
        <v>0.35839521878600172</v>
      </c>
      <c r="AA9" s="54">
        <f t="shared" si="3"/>
        <v>0.4389221239171836</v>
      </c>
      <c r="AB9" s="54">
        <f t="shared" si="3"/>
        <v>0.42744547714062514</v>
      </c>
      <c r="AC9" s="54">
        <f t="shared" si="3"/>
        <v>0.45058243892934385</v>
      </c>
      <c r="AD9" s="54">
        <f t="shared" si="3"/>
        <v>0.41354161332859174</v>
      </c>
      <c r="AE9" s="54">
        <f t="shared" si="3"/>
        <v>0.44014910255028777</v>
      </c>
      <c r="AF9" s="56">
        <v>0.36147567439064177</v>
      </c>
      <c r="AG9" s="55">
        <f t="shared" si="0"/>
        <v>0.37860691718705219</v>
      </c>
      <c r="AH9" s="55">
        <f t="shared" si="0"/>
        <v>0.36019792144307466</v>
      </c>
      <c r="AI9" s="55">
        <f t="shared" si="0"/>
        <v>0.4755762329026722</v>
      </c>
      <c r="AJ9" s="55"/>
      <c r="AK9" s="55">
        <f t="shared" ref="AK9:AL9" si="4">AK8/AK6</f>
        <v>0.41798148519581185</v>
      </c>
      <c r="AL9" s="55">
        <f t="shared" si="4"/>
        <v>0.43275827965253683</v>
      </c>
      <c r="AM9" s="52"/>
    </row>
    <row r="10" spans="2:39" s="53" customFormat="1" x14ac:dyDescent="0.35">
      <c r="B10" s="57" t="s">
        <v>76</v>
      </c>
      <c r="C10" s="58">
        <v>297.04105196551586</v>
      </c>
      <c r="D10" s="58">
        <v>269.03759750485125</v>
      </c>
      <c r="E10" s="59">
        <v>406.13977715967604</v>
      </c>
      <c r="F10" s="59">
        <v>91.208692775271402</v>
      </c>
      <c r="G10" s="59">
        <v>345.34524637767947</v>
      </c>
      <c r="H10" s="59">
        <v>389.07056350828231</v>
      </c>
      <c r="I10" s="59">
        <v>544.26366290470685</v>
      </c>
      <c r="J10" s="59">
        <v>188.24001832994281</v>
      </c>
      <c r="K10" s="59">
        <v>354.33130812165899</v>
      </c>
      <c r="L10" s="59">
        <v>383.03805485736382</v>
      </c>
      <c r="M10" s="59">
        <v>-391.24146187945462</v>
      </c>
      <c r="N10" s="59">
        <v>207.51883132068477</v>
      </c>
      <c r="O10" s="59">
        <v>788.15405709531115</v>
      </c>
      <c r="P10" s="58">
        <v>15.647122680363625</v>
      </c>
      <c r="Q10" s="58">
        <f>O10-P10</f>
        <v>772.50693441494752</v>
      </c>
      <c r="R10" s="59">
        <v>463.93073856645174</v>
      </c>
      <c r="S10" s="58">
        <v>16.198890357323901</v>
      </c>
      <c r="T10" s="58">
        <f>R10-S10</f>
        <v>447.73184820912786</v>
      </c>
      <c r="U10" s="59">
        <v>383.86544225185361</v>
      </c>
      <c r="V10" s="58">
        <v>24.64560047331544</v>
      </c>
      <c r="W10" s="58">
        <f>U10-V10</f>
        <v>359.21984177853818</v>
      </c>
      <c r="X10" s="59">
        <v>382.65479164306055</v>
      </c>
      <c r="Y10" s="58">
        <v>14.138429518851735</v>
      </c>
      <c r="Z10" s="58">
        <f>X10-Y10</f>
        <v>368.5163621242088</v>
      </c>
      <c r="AA10" s="58">
        <v>406.67636500866826</v>
      </c>
      <c r="AB10" s="58">
        <v>327.20381719212298</v>
      </c>
      <c r="AC10" s="58">
        <v>-367.22396135955972</v>
      </c>
      <c r="AD10" s="58">
        <v>268.75219279582308</v>
      </c>
      <c r="AE10" s="58">
        <v>377.81763156027012</v>
      </c>
      <c r="AF10" s="60">
        <v>1063.4271196103671</v>
      </c>
      <c r="AG10" s="59">
        <v>1466.9194911206125</v>
      </c>
      <c r="AH10" s="59">
        <v>553.64673242025583</v>
      </c>
      <c r="AI10" s="58">
        <v>2018.6050295566729</v>
      </c>
      <c r="AJ10" s="58">
        <f>SUM(P10,S10,V10,Y10)</f>
        <v>70.630043029854704</v>
      </c>
      <c r="AK10" s="59">
        <f>AI10-AJ10</f>
        <v>1947.9749865268182</v>
      </c>
      <c r="AL10" s="58">
        <v>635.40841363705613</v>
      </c>
      <c r="AM10" s="52"/>
    </row>
    <row r="11" spans="2:39" s="53" customFormat="1" x14ac:dyDescent="0.35">
      <c r="B11" s="57" t="s">
        <v>77</v>
      </c>
      <c r="C11" s="58">
        <v>137.24186548520754</v>
      </c>
      <c r="D11" s="58">
        <v>82.46854341399289</v>
      </c>
      <c r="E11" s="59">
        <v>185.90008852866899</v>
      </c>
      <c r="F11" s="59">
        <v>-89.412817959157309</v>
      </c>
      <c r="G11" s="59">
        <v>219.79417571643398</v>
      </c>
      <c r="H11" s="59">
        <v>-106.60044977937859</v>
      </c>
      <c r="I11" s="59">
        <v>367.43884870500068</v>
      </c>
      <c r="J11" s="59">
        <v>-151.64603232015168</v>
      </c>
      <c r="K11" s="59">
        <v>159.72923963712569</v>
      </c>
      <c r="L11" s="59">
        <v>161.68426719121067</v>
      </c>
      <c r="M11" s="59">
        <v>-626.38759650618124</v>
      </c>
      <c r="N11" s="59">
        <v>56.48003546400259</v>
      </c>
      <c r="O11" s="59">
        <v>608.85818662406848</v>
      </c>
      <c r="P11" s="58">
        <v>-28.559223684965954</v>
      </c>
      <c r="Q11" s="58">
        <f>O11-P11</f>
        <v>637.41741030903438</v>
      </c>
      <c r="R11" s="59">
        <v>256.20742056712612</v>
      </c>
      <c r="S11" s="59">
        <v>-28.264470932443828</v>
      </c>
      <c r="T11" s="58">
        <f>R11-S11</f>
        <v>284.47189149956995</v>
      </c>
      <c r="U11" s="59">
        <v>130.2011468366901</v>
      </c>
      <c r="V11" s="59">
        <v>-19.499891268934828</v>
      </c>
      <c r="W11" s="58">
        <f>U11-V11</f>
        <v>149.70103810562492</v>
      </c>
      <c r="X11" s="59">
        <v>185.87386107412266</v>
      </c>
      <c r="Y11" s="59">
        <v>-29.215627508088247</v>
      </c>
      <c r="Z11" s="58">
        <f>X11-Y11</f>
        <v>215.08948858221089</v>
      </c>
      <c r="AA11" s="58">
        <v>195.46294276225325</v>
      </c>
      <c r="AB11" s="58">
        <v>242.59434284322668</v>
      </c>
      <c r="AC11" s="58">
        <v>-533.60915639576501</v>
      </c>
      <c r="AD11" s="58">
        <v>121.67755538203028</v>
      </c>
      <c r="AE11" s="58">
        <v>229.12396176338959</v>
      </c>
      <c r="AF11" s="60">
        <v>316.19767956920037</v>
      </c>
      <c r="AG11" s="59">
        <v>327.98654232190478</v>
      </c>
      <c r="AH11" s="59">
        <v>-248.49405421383756</v>
      </c>
      <c r="AI11" s="58">
        <v>1181.140615102006</v>
      </c>
      <c r="AJ11" s="58">
        <f>SUM(P11,S11,V11,Y11)</f>
        <v>-105.53921339443286</v>
      </c>
      <c r="AK11" s="59">
        <f>AI11-AJ11</f>
        <v>1286.6798284964389</v>
      </c>
      <c r="AL11" s="58">
        <v>26.125684591747298</v>
      </c>
      <c r="AM11" s="52"/>
    </row>
    <row r="12" spans="2:39" s="53" customFormat="1" x14ac:dyDescent="0.35">
      <c r="B12" s="57" t="s">
        <v>78</v>
      </c>
      <c r="C12" s="58">
        <v>169.09895356198632</v>
      </c>
      <c r="D12" s="58">
        <v>122.38483185472197</v>
      </c>
      <c r="E12" s="58">
        <v>444.562618967785</v>
      </c>
      <c r="F12" s="58">
        <v>1557.03848101207</v>
      </c>
      <c r="G12" s="58">
        <v>-4.4742946074884653</v>
      </c>
      <c r="H12" s="58">
        <v>-277.87055810083979</v>
      </c>
      <c r="I12" s="58">
        <v>115.16057944310543</v>
      </c>
      <c r="J12" s="59">
        <v>-337.40905862764617</v>
      </c>
      <c r="K12" s="58">
        <v>-112.36780034673774</v>
      </c>
      <c r="L12" s="58">
        <v>-141.94047077831257</v>
      </c>
      <c r="M12" s="58">
        <v>854.97691446045008</v>
      </c>
      <c r="N12" s="58">
        <v>-19.302767400959702</v>
      </c>
      <c r="O12" s="58">
        <v>495.45956783334111</v>
      </c>
      <c r="P12" s="58">
        <v>-23.167031143073423</v>
      </c>
      <c r="Q12" s="58">
        <f>O12-P12</f>
        <v>518.62659897641458</v>
      </c>
      <c r="R12" s="58">
        <v>69.259574830484979</v>
      </c>
      <c r="S12" s="58">
        <v>-22.712081077153115</v>
      </c>
      <c r="T12" s="58">
        <f>R12-S12</f>
        <v>91.971655907638095</v>
      </c>
      <c r="U12" s="58">
        <v>34.572524228471536</v>
      </c>
      <c r="V12" s="58">
        <v>-15.577364401824344</v>
      </c>
      <c r="W12" s="58">
        <f>U12-V12</f>
        <v>50.149888630295877</v>
      </c>
      <c r="X12" s="58">
        <v>22.303904984743362</v>
      </c>
      <c r="Y12" s="58">
        <v>-23.542378732256353</v>
      </c>
      <c r="Z12" s="58">
        <f>X12-Y12</f>
        <v>45.846283716999714</v>
      </c>
      <c r="AA12" s="58">
        <v>107.93393693491116</v>
      </c>
      <c r="AB12" s="58">
        <v>155.70240806987221</v>
      </c>
      <c r="AC12" s="58">
        <v>-620.3690317003111</v>
      </c>
      <c r="AD12" s="58">
        <v>8.006676652355937</v>
      </c>
      <c r="AE12" s="58">
        <v>129</v>
      </c>
      <c r="AF12" s="61">
        <v>2294.0848853965635</v>
      </c>
      <c r="AG12" s="58">
        <v>-505.59333189285655</v>
      </c>
      <c r="AH12" s="58">
        <v>581.36587593444574</v>
      </c>
      <c r="AI12" s="58">
        <v>621.59557187703808</v>
      </c>
      <c r="AJ12" s="58">
        <f>SUM(P12,S12,V12,Y12)</f>
        <v>-84.998855354307238</v>
      </c>
      <c r="AK12" s="59">
        <f>AI12-AJ12</f>
        <v>706.59442723134532</v>
      </c>
      <c r="AL12" s="58">
        <v>-348.72601004316908</v>
      </c>
      <c r="AM12" s="52"/>
    </row>
    <row r="13" spans="2:39" s="53" customFormat="1" x14ac:dyDescent="0.35">
      <c r="B13" s="57" t="s">
        <v>79</v>
      </c>
      <c r="C13" s="62"/>
      <c r="D13" s="62"/>
      <c r="E13" s="63"/>
      <c r="F13" s="63"/>
      <c r="G13" s="63"/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58">
        <v>402.79089408094381</v>
      </c>
      <c r="AB13" s="58">
        <v>496.99252840015362</v>
      </c>
      <c r="AC13" s="58">
        <v>365.10496300110628</v>
      </c>
      <c r="AD13" s="58">
        <v>677.58789599845602</v>
      </c>
      <c r="AE13" s="58">
        <v>458.13611324507559</v>
      </c>
      <c r="AF13" s="65"/>
      <c r="AG13" s="64"/>
      <c r="AH13" s="64"/>
      <c r="AI13" s="64"/>
      <c r="AJ13" s="64"/>
      <c r="AK13" s="64"/>
      <c r="AL13" s="58">
        <f t="shared" ref="AL13:AL14" si="5">SUM(AA13,AB13,AC13,AD13)</f>
        <v>1942.47628148066</v>
      </c>
      <c r="AM13" s="52"/>
    </row>
    <row r="14" spans="2:39" s="53" customFormat="1" x14ac:dyDescent="0.35">
      <c r="B14" s="57" t="s">
        <v>80</v>
      </c>
      <c r="C14" s="62"/>
      <c r="D14" s="62"/>
      <c r="E14" s="63"/>
      <c r="F14" s="63"/>
      <c r="G14" s="63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58">
        <v>367.98322862858168</v>
      </c>
      <c r="AB14" s="58">
        <v>492.34884853706751</v>
      </c>
      <c r="AC14" s="58">
        <v>354.22930904059922</v>
      </c>
      <c r="AD14" s="58">
        <v>674.26059090711954</v>
      </c>
      <c r="AE14" s="58">
        <v>424.55715570175994</v>
      </c>
      <c r="AF14" s="65"/>
      <c r="AG14" s="64"/>
      <c r="AH14" s="64"/>
      <c r="AI14" s="64"/>
      <c r="AJ14" s="64"/>
      <c r="AK14" s="64"/>
      <c r="AL14" s="58">
        <f t="shared" si="5"/>
        <v>1888.8219771133681</v>
      </c>
      <c r="AM14" s="52"/>
    </row>
    <row r="15" spans="2:39" s="53" customFormat="1" x14ac:dyDescent="0.35">
      <c r="B15" s="57" t="s">
        <v>158</v>
      </c>
      <c r="C15" s="62"/>
      <c r="D15" s="62"/>
      <c r="E15" s="63"/>
      <c r="F15" s="63"/>
      <c r="G15" s="63"/>
      <c r="H15" s="6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6">
        <f>AA14/AA6</f>
        <v>0.17551517298937278</v>
      </c>
      <c r="AB15" s="66">
        <f>AB14/AB6</f>
        <v>0.26027709170088359</v>
      </c>
      <c r="AC15" s="66">
        <f>AC14/AC6</f>
        <v>0.17771617502938272</v>
      </c>
      <c r="AD15" s="66">
        <f>AD14/AD6</f>
        <v>0.33741561189381969</v>
      </c>
      <c r="AE15" s="66">
        <f>AE14/AE6</f>
        <v>0.21345723823146717</v>
      </c>
      <c r="AF15" s="65"/>
      <c r="AG15" s="64"/>
      <c r="AH15" s="64"/>
      <c r="AI15" s="64"/>
      <c r="AJ15" s="64"/>
      <c r="AK15" s="64"/>
      <c r="AL15" s="64">
        <f>AL14/AL6</f>
        <v>0.23670154091075418</v>
      </c>
      <c r="AM15" s="52"/>
    </row>
    <row r="16" spans="2:39" s="53" customFormat="1" hidden="1" outlineLevel="1" x14ac:dyDescent="0.35">
      <c r="B16" s="57" t="s">
        <v>81</v>
      </c>
      <c r="C16" s="58">
        <v>202.85781461323279</v>
      </c>
      <c r="D16" s="58">
        <v>347.96229680125083</v>
      </c>
      <c r="E16" s="58">
        <v>421.86180094843593</v>
      </c>
      <c r="F16" s="58">
        <v>769.74811577466505</v>
      </c>
      <c r="G16" s="58">
        <v>267.87638575345426</v>
      </c>
      <c r="H16" s="58">
        <v>642.7999059795111</v>
      </c>
      <c r="I16" s="58">
        <v>405.60674927510689</v>
      </c>
      <c r="J16" s="59">
        <v>473.05048738007667</v>
      </c>
      <c r="K16" s="58">
        <v>754.30108356442952</v>
      </c>
      <c r="L16" s="58">
        <v>492.05653713328934</v>
      </c>
      <c r="M16" s="58">
        <v>318.50257529282248</v>
      </c>
      <c r="N16" s="58">
        <v>368.9093452575828</v>
      </c>
      <c r="O16" s="58">
        <v>444.99558422351134</v>
      </c>
      <c r="P16" s="58">
        <v>51.974720211796679</v>
      </c>
      <c r="Q16" s="58">
        <f>O16-P16</f>
        <v>393.02086401171465</v>
      </c>
      <c r="R16" s="58">
        <v>554.26889601806863</v>
      </c>
      <c r="S16" s="59">
        <v>97.198021739949141</v>
      </c>
      <c r="T16" s="58">
        <f>R16-S16</f>
        <v>457.0708742781195</v>
      </c>
      <c r="U16" s="58">
        <v>397.2772198671359</v>
      </c>
      <c r="V16" s="59">
        <v>52.631220149104756</v>
      </c>
      <c r="W16" s="58">
        <f>U16-V16</f>
        <v>344.64599971803113</v>
      </c>
      <c r="X16" s="58">
        <v>684.02099895771767</v>
      </c>
      <c r="Y16" s="59">
        <v>103.2096401033274</v>
      </c>
      <c r="Z16" s="58">
        <f>X16-Y16</f>
        <v>580.81135885439028</v>
      </c>
      <c r="AA16" s="58">
        <v>447.77721278485251</v>
      </c>
      <c r="AB16" s="58">
        <v>540.00086498372445</v>
      </c>
      <c r="AC16" s="58">
        <v>437.16460926425231</v>
      </c>
      <c r="AD16" s="58">
        <v>958.15623014520793</v>
      </c>
      <c r="AE16" s="58">
        <v>596.66592463745928</v>
      </c>
      <c r="AF16" s="60">
        <v>1741.4300281375845</v>
      </c>
      <c r="AG16" s="59">
        <f>SUM(G16:J16)+2</f>
        <v>1791.333528388149</v>
      </c>
      <c r="AH16" s="59">
        <f>SUM(K16:N16)</f>
        <v>1933.7695412481241</v>
      </c>
      <c r="AI16" s="58">
        <f>SUM(O16,R16,U16,X16)</f>
        <v>2080.5626990664337</v>
      </c>
      <c r="AJ16" s="58">
        <f>SUM(P16,S16,V16,Y16)</f>
        <v>305.01360220417797</v>
      </c>
      <c r="AK16" s="59">
        <f>AI16-AJ16</f>
        <v>1775.5490968622557</v>
      </c>
      <c r="AL16" s="58">
        <f>SUM(AA16,AB16,AC16,AD16)</f>
        <v>2383.0989171780375</v>
      </c>
      <c r="AM16" s="52"/>
    </row>
    <row r="17" spans="2:39" s="53" customFormat="1" hidden="1" outlineLevel="1" x14ac:dyDescent="0.35">
      <c r="B17" s="57" t="s">
        <v>82</v>
      </c>
      <c r="C17" s="59">
        <v>158.08989334901071</v>
      </c>
      <c r="D17" s="59">
        <v>329</v>
      </c>
      <c r="E17" s="59">
        <v>382.30070474175903</v>
      </c>
      <c r="F17" s="58">
        <v>753.9185220277659</v>
      </c>
      <c r="G17" s="58">
        <v>263.54231231322046</v>
      </c>
      <c r="H17" s="58">
        <v>331.73167715595923</v>
      </c>
      <c r="I17" s="58">
        <v>397.82177298020241</v>
      </c>
      <c r="J17" s="59">
        <v>465.51583592863</v>
      </c>
      <c r="K17" s="58">
        <v>355.10499654114273</v>
      </c>
      <c r="L17" s="58">
        <v>402.01358839233757</v>
      </c>
      <c r="M17" s="58">
        <v>311.27341217817849</v>
      </c>
      <c r="N17" s="58">
        <v>346.43896594718069</v>
      </c>
      <c r="O17" s="58">
        <v>440.8191460931796</v>
      </c>
      <c r="P17" s="58">
        <f>P16</f>
        <v>51.974720211796679</v>
      </c>
      <c r="Q17" s="59">
        <f>O17-P17</f>
        <v>388.8444258813829</v>
      </c>
      <c r="R17" s="58">
        <v>546.84636394346467</v>
      </c>
      <c r="S17" s="59">
        <f>S16</f>
        <v>97.198021739949141</v>
      </c>
      <c r="T17" s="59">
        <f>R17-S17</f>
        <v>449.64834220351554</v>
      </c>
      <c r="U17" s="58">
        <v>376.74597256871988</v>
      </c>
      <c r="V17" s="59">
        <f>V16</f>
        <v>52.631220149104756</v>
      </c>
      <c r="W17" s="59">
        <f>U17-V17</f>
        <v>324.11475241961512</v>
      </c>
      <c r="X17" s="58">
        <v>681.88187419327858</v>
      </c>
      <c r="Y17" s="59">
        <f>Y16</f>
        <v>103.2096401033274</v>
      </c>
      <c r="Z17" s="59">
        <f>X17-Y17</f>
        <v>578.67223408995119</v>
      </c>
      <c r="AA17" s="58">
        <v>412.96954733249032</v>
      </c>
      <c r="AB17" s="58">
        <v>535.35718512063841</v>
      </c>
      <c r="AC17" s="58">
        <v>426.28895530374535</v>
      </c>
      <c r="AD17" s="58">
        <v>954.82892505387144</v>
      </c>
      <c r="AE17" s="58">
        <v>563.08696709414357</v>
      </c>
      <c r="AF17" s="60">
        <v>1623.3091201185357</v>
      </c>
      <c r="AG17" s="59">
        <f>SUM(G17:J17)</f>
        <v>1458.6115983780121</v>
      </c>
      <c r="AH17" s="59">
        <f>SUM(K17:N17)</f>
        <v>1414.8309630588396</v>
      </c>
      <c r="AI17" s="58">
        <f>SUM(O17,R17,U17,X17)</f>
        <v>2046.2933567986429</v>
      </c>
      <c r="AJ17" s="58">
        <f>AJ16</f>
        <v>305.01360220417797</v>
      </c>
      <c r="AK17" s="59">
        <f>AI17-AJ17</f>
        <v>1741.279754594465</v>
      </c>
      <c r="AL17" s="58">
        <f>SUM(AA17,AB17,AC17,AD17)</f>
        <v>2329.4446128107456</v>
      </c>
      <c r="AM17" s="52"/>
    </row>
    <row r="18" spans="2:39" s="53" customFormat="1" hidden="1" outlineLevel="1" x14ac:dyDescent="0.35">
      <c r="B18" s="57" t="s">
        <v>83</v>
      </c>
      <c r="C18" s="62">
        <v>7.5439505524879755E-2</v>
      </c>
      <c r="D18" s="62">
        <v>0.1377186126169197</v>
      </c>
      <c r="E18" s="63">
        <v>0.16185843925062782</v>
      </c>
      <c r="F18" s="63">
        <v>0.32025149985096069</v>
      </c>
      <c r="G18" s="63">
        <f t="shared" ref="G18:O18" si="6">G17/G6</f>
        <v>0.11553128750171411</v>
      </c>
      <c r="H18" s="63">
        <f t="shared" si="6"/>
        <v>0.13726411525924337</v>
      </c>
      <c r="I18" s="64">
        <f t="shared" si="6"/>
        <v>0.16199987949288133</v>
      </c>
      <c r="J18" s="64">
        <f t="shared" si="6"/>
        <v>0.2006534650186039</v>
      </c>
      <c r="K18" s="64">
        <f t="shared" si="6"/>
        <v>0.15784190966827547</v>
      </c>
      <c r="L18" s="64">
        <f t="shared" si="6"/>
        <v>0.17709348489952395</v>
      </c>
      <c r="M18" s="64">
        <f t="shared" si="6"/>
        <v>0.13434909503979287</v>
      </c>
      <c r="N18" s="64">
        <f t="shared" si="6"/>
        <v>0.15402812181413758</v>
      </c>
      <c r="O18" s="64">
        <f t="shared" si="6"/>
        <v>0.20749803127296867</v>
      </c>
      <c r="P18" s="64"/>
      <c r="Q18" s="64">
        <f>Q17/Q6</f>
        <v>0.18303300470710451</v>
      </c>
      <c r="R18" s="64">
        <f>R17/R6</f>
        <v>0.2418982311229522</v>
      </c>
      <c r="S18" s="64"/>
      <c r="T18" s="64">
        <f>T17/T6</f>
        <v>0.19890255431531648</v>
      </c>
      <c r="U18" s="64">
        <f>U17/U6</f>
        <v>0.16943962517070288</v>
      </c>
      <c r="V18" s="64"/>
      <c r="W18" s="64">
        <f>W17/W6</f>
        <v>0.14576899598377929</v>
      </c>
      <c r="X18" s="64">
        <f>X17/X6</f>
        <v>0.30251667222426626</v>
      </c>
      <c r="Y18" s="64"/>
      <c r="Z18" s="64">
        <f t="shared" ref="Z18:AE18" si="7">Z17/Z6</f>
        <v>0.25672774888257793</v>
      </c>
      <c r="AA18" s="66">
        <f t="shared" si="7"/>
        <v>0.19697207888939972</v>
      </c>
      <c r="AB18" s="66">
        <f t="shared" si="7"/>
        <v>0.28301317567493151</v>
      </c>
      <c r="AC18" s="66">
        <f t="shared" si="7"/>
        <v>0.21386836340290022</v>
      </c>
      <c r="AD18" s="66">
        <f t="shared" si="7"/>
        <v>0.47781850273576221</v>
      </c>
      <c r="AE18" s="66">
        <f t="shared" si="7"/>
        <v>0.2831067319578584</v>
      </c>
      <c r="AF18" s="65">
        <v>0.1771245739076916</v>
      </c>
      <c r="AG18" s="64">
        <f>AG17/AG6</f>
        <v>0.15396650382929972</v>
      </c>
      <c r="AH18" s="64">
        <f>AH17/AH6</f>
        <v>0.15571706612802366</v>
      </c>
      <c r="AI18" s="64">
        <f>AI17/AI6</f>
        <v>0.23089062815976677</v>
      </c>
      <c r="AJ18" s="64"/>
      <c r="AK18" s="64">
        <f>AK17/AK6</f>
        <v>0.19647484804876009</v>
      </c>
      <c r="AL18" s="64">
        <f>AL17/AL6</f>
        <v>0.2919190564275525</v>
      </c>
      <c r="AM18" s="52"/>
    </row>
    <row r="19" spans="2:39" s="53" customFormat="1" ht="15" collapsed="1" thickBot="1" x14ac:dyDescent="0.4">
      <c r="B19" s="67" t="s">
        <v>84</v>
      </c>
      <c r="C19" s="68"/>
      <c r="D19" s="68"/>
      <c r="E19" s="69"/>
      <c r="F19" s="69"/>
      <c r="G19" s="69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1">
        <v>109</v>
      </c>
      <c r="AB19" s="71">
        <v>-36</v>
      </c>
      <c r="AC19" s="71">
        <v>299</v>
      </c>
      <c r="AD19" s="71">
        <v>-47</v>
      </c>
      <c r="AE19" s="72">
        <v>-14</v>
      </c>
      <c r="AF19" s="70"/>
      <c r="AG19" s="70"/>
      <c r="AH19" s="70"/>
      <c r="AI19" s="70"/>
      <c r="AJ19" s="70"/>
      <c r="AK19" s="70"/>
      <c r="AL19" s="72">
        <f>SUM(AA19:AD19)</f>
        <v>325</v>
      </c>
      <c r="AM19" s="52"/>
    </row>
    <row r="20" spans="2:39" x14ac:dyDescent="0.35">
      <c r="B20" s="73" t="s">
        <v>85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  <c r="AG20" s="75"/>
      <c r="AH20" s="35"/>
      <c r="AI20" s="35"/>
      <c r="AJ20" s="35"/>
      <c r="AK20" s="35"/>
      <c r="AL20" s="35"/>
      <c r="AM20" s="35"/>
    </row>
    <row r="21" spans="2:39" ht="40" customHeight="1" x14ac:dyDescent="0.35">
      <c r="B21" s="76" t="s">
        <v>155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4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35"/>
      <c r="AI21" s="35"/>
      <c r="AJ21" s="35"/>
      <c r="AK21" s="35"/>
      <c r="AL21" s="35"/>
      <c r="AM21" s="35"/>
    </row>
    <row r="22" spans="2:39" ht="84" customHeight="1" x14ac:dyDescent="0.35">
      <c r="B22" s="76" t="s">
        <v>86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4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35"/>
      <c r="AI22" s="35"/>
      <c r="AJ22" s="35"/>
      <c r="AK22" s="35"/>
      <c r="AL22" s="35"/>
      <c r="AM22" s="35"/>
    </row>
    <row r="23" spans="2:39" s="78" customFormat="1" ht="24" x14ac:dyDescent="0.35">
      <c r="B23" s="76" t="s">
        <v>87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/>
      <c r="O23" s="80"/>
      <c r="P23" s="81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32"/>
      <c r="AG23" s="32"/>
      <c r="AH23" s="32"/>
      <c r="AI23" s="32"/>
      <c r="AJ23" s="32"/>
      <c r="AK23" s="32"/>
      <c r="AL23" s="32"/>
      <c r="AM23" s="32"/>
    </row>
    <row r="24" spans="2:39" x14ac:dyDescent="0.35">
      <c r="B24" s="82" t="s">
        <v>88</v>
      </c>
    </row>
    <row r="33" ht="31.9" customHeight="1" x14ac:dyDescent="0.35"/>
    <row r="34" ht="14.5" customHeight="1" x14ac:dyDescent="0.35"/>
  </sheetData>
  <hyperlinks>
    <hyperlink ref="B2" location="Index!A1" display="index page" xr:uid="{7B62D6A7-17C8-4483-808F-E4D0B9E98B39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096F-FE10-4BD3-A1E7-06F4B017388A}">
  <dimension ref="B1:AB50"/>
  <sheetViews>
    <sheetView view="pageBreakPreview" zoomScale="80" zoomScaleNormal="70" zoomScaleSheetLayoutView="80" workbookViewId="0">
      <pane xSplit="2" ySplit="4" topLeftCell="C5" activePane="bottomRight" state="frozen"/>
      <selection activeCell="K31" sqref="K31"/>
      <selection pane="topRight" activeCell="K31" sqref="K31"/>
      <selection pane="bottomLeft" activeCell="K31" sqref="K31"/>
      <selection pane="bottomRight" activeCell="O1" sqref="O1:R1048576"/>
    </sheetView>
  </sheetViews>
  <sheetFormatPr defaultColWidth="9.1796875" defaultRowHeight="14.5" outlineLevelCol="1" x14ac:dyDescent="0.35"/>
  <cols>
    <col min="1" max="1" width="0.81640625" style="32" customWidth="1"/>
    <col min="2" max="2" width="35.81640625" style="32" customWidth="1"/>
    <col min="3" max="8" width="9.1796875" style="32" hidden="1" customWidth="1" outlineLevel="1"/>
    <col min="9" max="9" width="10.7265625" style="32" hidden="1" customWidth="1" outlineLevel="1"/>
    <col min="10" max="11" width="9.1796875" style="32" hidden="1" customWidth="1" outlineLevel="1"/>
    <col min="12" max="13" width="10" style="32" hidden="1" customWidth="1" outlineLevel="1"/>
    <col min="14" max="14" width="9.1796875" style="32" hidden="1" customWidth="1" outlineLevel="1"/>
    <col min="15" max="15" width="9.1796875" style="32" customWidth="1" collapsed="1"/>
    <col min="16" max="16" width="10.26953125" style="32" customWidth="1"/>
    <col min="17" max="17" width="10.1796875" style="32" customWidth="1"/>
    <col min="18" max="19" width="9.1796875" style="32" customWidth="1"/>
    <col min="20" max="23" width="9.26953125" style="32" customWidth="1"/>
    <col min="24" max="26" width="9.1796875" style="32" hidden="1" customWidth="1" outlineLevel="1"/>
    <col min="27" max="27" width="9.1796875" style="32" customWidth="1" collapsed="1"/>
    <col min="28" max="16384" width="9.1796875" style="32"/>
  </cols>
  <sheetData>
    <row r="1" spans="2:28" x14ac:dyDescent="0.35">
      <c r="B1" s="30" t="s">
        <v>89</v>
      </c>
      <c r="C1" s="28"/>
      <c r="D1" s="28"/>
      <c r="E1" s="352"/>
      <c r="F1" s="352"/>
      <c r="G1" s="352"/>
      <c r="H1" s="352"/>
      <c r="I1" s="352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2:28" ht="27" customHeight="1" x14ac:dyDescent="0.35">
      <c r="B2" s="34" t="s">
        <v>39</v>
      </c>
      <c r="C2" s="28"/>
      <c r="D2" s="28"/>
      <c r="E2" s="353"/>
      <c r="F2" s="353"/>
      <c r="G2" s="353"/>
      <c r="H2" s="353"/>
      <c r="I2" s="353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2:28" ht="15" thickBot="1" x14ac:dyDescent="0.4">
      <c r="B3" s="36" t="s">
        <v>90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2:28" ht="15.5" thickTop="1" thickBot="1" x14ac:dyDescent="0.4">
      <c r="B4" s="83" t="s">
        <v>91</v>
      </c>
      <c r="C4" s="43" t="s">
        <v>92</v>
      </c>
      <c r="D4" s="43" t="s">
        <v>93</v>
      </c>
      <c r="E4" s="43" t="s">
        <v>44</v>
      </c>
      <c r="F4" s="84" t="s">
        <v>45</v>
      </c>
      <c r="G4" s="84" t="s">
        <v>46</v>
      </c>
      <c r="H4" s="84" t="s">
        <v>47</v>
      </c>
      <c r="I4" s="84" t="s">
        <v>48</v>
      </c>
      <c r="J4" s="84" t="s">
        <v>49</v>
      </c>
      <c r="K4" s="84" t="s">
        <v>50</v>
      </c>
      <c r="L4" s="84" t="s">
        <v>51</v>
      </c>
      <c r="M4" s="84" t="s">
        <v>52</v>
      </c>
      <c r="N4" s="84" t="s">
        <v>53</v>
      </c>
      <c r="O4" s="84" t="s">
        <v>54</v>
      </c>
      <c r="P4" s="84" t="s">
        <v>57</v>
      </c>
      <c r="Q4" s="85" t="s">
        <v>59</v>
      </c>
      <c r="R4" s="84" t="s">
        <v>61</v>
      </c>
      <c r="S4" s="84" t="s">
        <v>7</v>
      </c>
      <c r="T4" s="84" t="s">
        <v>63</v>
      </c>
      <c r="U4" s="84" t="s">
        <v>64</v>
      </c>
      <c r="V4" s="84" t="s">
        <v>65</v>
      </c>
      <c r="W4" s="84" t="s">
        <v>6</v>
      </c>
      <c r="X4" s="86" t="s">
        <v>94</v>
      </c>
      <c r="Y4" s="84" t="s">
        <v>67</v>
      </c>
      <c r="Z4" s="84" t="s">
        <v>68</v>
      </c>
      <c r="AA4" s="84" t="s">
        <v>69</v>
      </c>
      <c r="AB4" s="87" t="s">
        <v>71</v>
      </c>
    </row>
    <row r="5" spans="2:28" x14ac:dyDescent="0.35">
      <c r="B5" s="88" t="s">
        <v>14</v>
      </c>
      <c r="C5" s="89">
        <f>Russia!C17</f>
        <v>57.664841000000003</v>
      </c>
      <c r="D5" s="89">
        <f>Russia!D17</f>
        <v>57.545664000000002</v>
      </c>
      <c r="E5" s="89">
        <f>Russia!E17</f>
        <v>58.440784000000001</v>
      </c>
      <c r="F5" s="90">
        <f>Russia!F17</f>
        <v>58.307886000000003</v>
      </c>
      <c r="G5" s="90">
        <f>Russia!G17</f>
        <v>56.968744000000001</v>
      </c>
      <c r="H5" s="90">
        <f>Russia!H17</f>
        <v>58.324680000000001</v>
      </c>
      <c r="I5" s="90">
        <f>Russia!I17</f>
        <v>58.845224999999999</v>
      </c>
      <c r="J5" s="90">
        <f>Russia!J17</f>
        <v>58.160443999999998</v>
      </c>
      <c r="K5" s="90">
        <f>Russia!K17</f>
        <v>56.269533000000003</v>
      </c>
      <c r="L5" s="90">
        <f>Russia!L17</f>
        <v>56.428289999999997</v>
      </c>
      <c r="M5" s="90">
        <f>Russia!M17</f>
        <v>56.208658</v>
      </c>
      <c r="N5" s="90">
        <f>Russia!N17</f>
        <v>55.252583999999999</v>
      </c>
      <c r="O5" s="90">
        <f>Russia!O17</f>
        <v>54.229596999999998</v>
      </c>
      <c r="P5" s="90">
        <f>Russia!R17</f>
        <v>54.332397</v>
      </c>
      <c r="Q5" s="90">
        <f>Russia!U17</f>
        <v>54.782978999999997</v>
      </c>
      <c r="R5" s="90">
        <f>Russia!X17</f>
        <v>54.648950999999997</v>
      </c>
      <c r="S5" s="90">
        <f>Russia!AA17</f>
        <v>53.487031000000002</v>
      </c>
      <c r="T5" s="90">
        <f>Russia!AB17</f>
        <v>49.774312999999999</v>
      </c>
      <c r="U5" s="90">
        <f>Russia!AC17</f>
        <v>49.721111999999998</v>
      </c>
      <c r="V5" s="90">
        <f>Russia!AD17</f>
        <v>49.878476999999997</v>
      </c>
      <c r="W5" s="90">
        <f>Russia!AE17</f>
        <v>50.046802</v>
      </c>
      <c r="X5" s="91">
        <f t="shared" ref="X5:X11" si="0">F5</f>
        <v>58.307886000000003</v>
      </c>
      <c r="Y5" s="92">
        <f t="shared" ref="Y5:Y12" si="1">J5</f>
        <v>58.160443999999998</v>
      </c>
      <c r="Z5" s="92">
        <f t="shared" ref="Z5:Z12" si="2">N5</f>
        <v>55.252583999999999</v>
      </c>
      <c r="AA5" s="92">
        <f>R5</f>
        <v>54.648950999999997</v>
      </c>
      <c r="AB5" s="92">
        <f t="shared" ref="AB5:AB12" si="3">V5</f>
        <v>49.878476999999997</v>
      </c>
    </row>
    <row r="6" spans="2:28" x14ac:dyDescent="0.35">
      <c r="B6" s="88" t="s">
        <v>20</v>
      </c>
      <c r="C6" s="93">
        <f>Algeria!C14</f>
        <v>16.652937000000001</v>
      </c>
      <c r="D6" s="93">
        <f>Algeria!D14</f>
        <v>16.320250999999999</v>
      </c>
      <c r="E6" s="93">
        <f>Algeria!E14</f>
        <v>15.940804999999999</v>
      </c>
      <c r="F6" s="93">
        <f>Algeria!F14</f>
        <v>16.253174999999999</v>
      </c>
      <c r="G6" s="93">
        <f>Algeria!G14</f>
        <v>16.052555999999999</v>
      </c>
      <c r="H6" s="93">
        <f>Algeria!H14</f>
        <v>15.517837999999999</v>
      </c>
      <c r="I6" s="93">
        <f>Algeria!I14</f>
        <v>15.224119999999999</v>
      </c>
      <c r="J6" s="93">
        <f>Algeria!J14</f>
        <v>14.960917999999999</v>
      </c>
      <c r="K6" s="93">
        <f>Algeria!K14</f>
        <v>15.324812</v>
      </c>
      <c r="L6" s="93">
        <f>Algeria!L14</f>
        <v>15.487069</v>
      </c>
      <c r="M6" s="93">
        <f>Algeria!M14</f>
        <v>15.617815999999999</v>
      </c>
      <c r="N6" s="93">
        <f>Algeria!N14</f>
        <v>15.815427</v>
      </c>
      <c r="O6" s="93">
        <f>Algeria!O14</f>
        <v>16.008099999999999</v>
      </c>
      <c r="P6" s="93">
        <f>Algeria!R14</f>
        <v>15.554269</v>
      </c>
      <c r="Q6" s="93">
        <f>Algeria!U14</f>
        <v>14.951997</v>
      </c>
      <c r="R6" s="93">
        <f>Algeria!X14</f>
        <v>14.604699</v>
      </c>
      <c r="S6" s="93">
        <f>Algeria!AA14</f>
        <v>14.178493</v>
      </c>
      <c r="T6" s="93">
        <f>Algeria!AB14</f>
        <v>13.944917</v>
      </c>
      <c r="U6" s="93">
        <f>Algeria!AC14</f>
        <v>14.201098</v>
      </c>
      <c r="V6" s="93">
        <f>Algeria!AD14</f>
        <v>14.137829</v>
      </c>
      <c r="W6" s="93">
        <f>Algeria!AE14</f>
        <v>14.114623999999999</v>
      </c>
      <c r="X6" s="94">
        <f t="shared" si="0"/>
        <v>16.253174999999999</v>
      </c>
      <c r="Y6" s="95">
        <f t="shared" si="1"/>
        <v>14.960917999999999</v>
      </c>
      <c r="Z6" s="95">
        <f t="shared" si="2"/>
        <v>15.815427</v>
      </c>
      <c r="AA6" s="95">
        <f t="shared" ref="AA6:AA12" si="4">R6</f>
        <v>14.604699</v>
      </c>
      <c r="AB6" s="95">
        <f t="shared" si="3"/>
        <v>14.137829</v>
      </c>
    </row>
    <row r="7" spans="2:28" x14ac:dyDescent="0.35">
      <c r="B7" s="88" t="s">
        <v>17</v>
      </c>
      <c r="C7" s="93">
        <v>38.117902000000001</v>
      </c>
      <c r="D7" s="93">
        <v>49.334611491367482</v>
      </c>
      <c r="E7" s="93">
        <v>50.999338000000002</v>
      </c>
      <c r="F7" s="93">
        <f>Pakistan!F14</f>
        <v>51.569839999999999</v>
      </c>
      <c r="G7" s="93">
        <f>Pakistan!G14</f>
        <v>52.512712000000001</v>
      </c>
      <c r="H7" s="93">
        <f>Pakistan!H14</f>
        <v>52.516027000000001</v>
      </c>
      <c r="I7" s="93">
        <f>Pakistan!I14</f>
        <v>53.095407000000002</v>
      </c>
      <c r="J7" s="93">
        <f>Pakistan!J14</f>
        <v>53.625877000000003</v>
      </c>
      <c r="K7" s="93">
        <f>Pakistan!K14</f>
        <v>55.117455999999997</v>
      </c>
      <c r="L7" s="93">
        <f>Pakistan!L14</f>
        <v>55.469118000000002</v>
      </c>
      <c r="M7" s="93">
        <f>Pakistan!M14</f>
        <v>56.094510999999997</v>
      </c>
      <c r="N7" s="93">
        <f>Pakistan!N14</f>
        <v>56.213841000000002</v>
      </c>
      <c r="O7" s="93">
        <f>Pakistan!O14</f>
        <v>58.337881000000003</v>
      </c>
      <c r="P7" s="93">
        <f>Pakistan!R14</f>
        <v>59.470720999999998</v>
      </c>
      <c r="Q7" s="93">
        <f>Pakistan!U14</f>
        <v>59.213313999999997</v>
      </c>
      <c r="R7" s="93">
        <f>Pakistan!X14</f>
        <v>60.499544</v>
      </c>
      <c r="S7" s="93">
        <f>Pakistan!AA14</f>
        <v>62.014960000000002</v>
      </c>
      <c r="T7" s="93">
        <f>Pakistan!AB14</f>
        <v>62.808244999999999</v>
      </c>
      <c r="U7" s="93">
        <f>Pakistan!AC14</f>
        <v>64.235461000000001</v>
      </c>
      <c r="V7" s="93">
        <f>Pakistan!AD14</f>
        <v>66.436910999999995</v>
      </c>
      <c r="W7" s="93">
        <f>Pakistan!AE14</f>
        <v>69.243889999999993</v>
      </c>
      <c r="X7" s="94">
        <f t="shared" si="0"/>
        <v>51.569839999999999</v>
      </c>
      <c r="Y7" s="95">
        <f t="shared" si="1"/>
        <v>53.625877000000003</v>
      </c>
      <c r="Z7" s="95">
        <f t="shared" si="2"/>
        <v>56.213841000000002</v>
      </c>
      <c r="AA7" s="95">
        <f t="shared" si="4"/>
        <v>60.499544</v>
      </c>
      <c r="AB7" s="95">
        <f t="shared" si="3"/>
        <v>66.436910999999995</v>
      </c>
    </row>
    <row r="8" spans="2:28" x14ac:dyDescent="0.35">
      <c r="B8" s="88" t="s">
        <v>24</v>
      </c>
      <c r="C8" s="93">
        <f>Bangladesh!C14</f>
        <v>31.575209999999998</v>
      </c>
      <c r="D8" s="93">
        <f>Bangladesh!D14</f>
        <v>31.145432</v>
      </c>
      <c r="E8" s="93">
        <f>Bangladesh!E14</f>
        <v>28.960978000000001</v>
      </c>
      <c r="F8" s="93">
        <f>Bangladesh!F14</f>
        <v>30.376759</v>
      </c>
      <c r="G8" s="93">
        <f>Bangladesh!G14</f>
        <v>30.501653999999998</v>
      </c>
      <c r="H8" s="93">
        <f>Bangladesh!H14</f>
        <v>30.686364999999999</v>
      </c>
      <c r="I8" s="93">
        <f>Bangladesh!I14</f>
        <v>31.399246000000002</v>
      </c>
      <c r="J8" s="93">
        <f>Bangladesh!J14</f>
        <v>31.345283999999999</v>
      </c>
      <c r="K8" s="93">
        <f>Bangladesh!K14</f>
        <v>32.195967000000003</v>
      </c>
      <c r="L8" s="93">
        <f>Bangladesh!L14</f>
        <v>31.958010000000002</v>
      </c>
      <c r="M8" s="93">
        <f>Bangladesh!M14</f>
        <v>32.286487999999999</v>
      </c>
      <c r="N8" s="93">
        <f>Bangladesh!N14</f>
        <v>32.328217000000002</v>
      </c>
      <c r="O8" s="93">
        <f>Bangladesh!O14</f>
        <v>32.97081</v>
      </c>
      <c r="P8" s="93">
        <f>Bangladesh!R14</f>
        <v>32.942247000000002</v>
      </c>
      <c r="Q8" s="93">
        <f>Bangladesh!U14</f>
        <v>33.065908999999998</v>
      </c>
      <c r="R8" s="93">
        <f>Bangladesh!X14</f>
        <v>33.636215999999997</v>
      </c>
      <c r="S8" s="93">
        <f>Bangladesh!AA14</f>
        <v>33.597498999999999</v>
      </c>
      <c r="T8" s="93">
        <f>Bangladesh!AB14</f>
        <v>32.105297</v>
      </c>
      <c r="U8" s="93">
        <f>Bangladesh!AC14</f>
        <v>32.805123000000002</v>
      </c>
      <c r="V8" s="93">
        <f>Bangladesh!AD14</f>
        <v>33.207357000000002</v>
      </c>
      <c r="W8" s="93">
        <f>Bangladesh!AE14</f>
        <v>34.260451000000003</v>
      </c>
      <c r="X8" s="94">
        <f t="shared" si="0"/>
        <v>30.376759</v>
      </c>
      <c r="Y8" s="95">
        <f t="shared" si="1"/>
        <v>31.345283999999999</v>
      </c>
      <c r="Z8" s="95">
        <f t="shared" si="2"/>
        <v>32.328217000000002</v>
      </c>
      <c r="AA8" s="95">
        <f t="shared" si="4"/>
        <v>33.636215999999997</v>
      </c>
      <c r="AB8" s="95">
        <f t="shared" si="3"/>
        <v>33.207357000000002</v>
      </c>
    </row>
    <row r="9" spans="2:28" x14ac:dyDescent="0.35">
      <c r="B9" s="88" t="s">
        <v>27</v>
      </c>
      <c r="C9" s="93">
        <f>Ukraine!C17</f>
        <v>25.326093</v>
      </c>
      <c r="D9" s="93">
        <f>Ukraine!D17</f>
        <v>25.428473</v>
      </c>
      <c r="E9" s="93">
        <f>Ukraine!E17</f>
        <v>26.250554999999999</v>
      </c>
      <c r="F9" s="93">
        <f>Ukraine!F17</f>
        <v>26.079004999999999</v>
      </c>
      <c r="G9" s="93">
        <f>Ukraine!G17</f>
        <v>26.000247000000002</v>
      </c>
      <c r="H9" s="93">
        <f>Ukraine!H17</f>
        <v>26.132186999999998</v>
      </c>
      <c r="I9" s="93">
        <f>Ukraine!I17</f>
        <v>26.449183000000001</v>
      </c>
      <c r="J9" s="93">
        <f>Ukraine!J17</f>
        <v>26.522144999999998</v>
      </c>
      <c r="K9" s="93">
        <f>Ukraine!K17</f>
        <v>26.505067</v>
      </c>
      <c r="L9" s="93">
        <f>Ukraine!L17</f>
        <v>26.494409000000001</v>
      </c>
      <c r="M9" s="93">
        <f>Ukraine!M17</f>
        <v>26.586618000000001</v>
      </c>
      <c r="N9" s="93">
        <f>Ukraine!N17</f>
        <v>26.381812</v>
      </c>
      <c r="O9" s="93">
        <f>Ukraine!O17</f>
        <v>26.327262999999999</v>
      </c>
      <c r="P9" s="93">
        <f>Ukraine!R17</f>
        <v>26.200347000000001</v>
      </c>
      <c r="Q9" s="93">
        <f>Ukraine!U17</f>
        <v>26.383064999999998</v>
      </c>
      <c r="R9" s="93">
        <f>Ukraine!X17</f>
        <v>26.212071999999999</v>
      </c>
      <c r="S9" s="93">
        <f>Ukraine!AA17</f>
        <v>26.003896000000001</v>
      </c>
      <c r="T9" s="93">
        <f>Ukraine!AB17</f>
        <v>25.393052999999998</v>
      </c>
      <c r="U9" s="93">
        <f>Ukraine!AC17</f>
        <v>25.804680000000001</v>
      </c>
      <c r="V9" s="93">
        <f>Ukraine!AD17</f>
        <v>25.875719</v>
      </c>
      <c r="W9" s="93">
        <f>Ukraine!AE17</f>
        <v>25.738665999999998</v>
      </c>
      <c r="X9" s="94">
        <f t="shared" si="0"/>
        <v>26.079004999999999</v>
      </c>
      <c r="Y9" s="95">
        <f t="shared" si="1"/>
        <v>26.522144999999998</v>
      </c>
      <c r="Z9" s="95">
        <f t="shared" si="2"/>
        <v>26.381812</v>
      </c>
      <c r="AA9" s="95">
        <f t="shared" si="4"/>
        <v>26.212071999999999</v>
      </c>
      <c r="AB9" s="95">
        <f t="shared" si="3"/>
        <v>25.875719</v>
      </c>
    </row>
    <row r="10" spans="2:28" x14ac:dyDescent="0.35">
      <c r="B10" s="88" t="s">
        <v>30</v>
      </c>
      <c r="C10" s="93">
        <f>Uzbekistan!C17</f>
        <v>9.496219</v>
      </c>
      <c r="D10" s="93">
        <f>Uzbekistan!D17</f>
        <v>9.3072049999999997</v>
      </c>
      <c r="E10" s="93">
        <f>Uzbekistan!E17</f>
        <v>9.5511569999999999</v>
      </c>
      <c r="F10" s="93">
        <f>Uzbekistan!F17</f>
        <v>9.5065030000000004</v>
      </c>
      <c r="G10" s="93">
        <f>Uzbekistan!G17</f>
        <v>9.5449789999999997</v>
      </c>
      <c r="H10" s="93">
        <f>Uzbekistan!H17</f>
        <v>9.5761409999999998</v>
      </c>
      <c r="I10" s="93">
        <f>Uzbekistan!I17</f>
        <v>9.5401450000000008</v>
      </c>
      <c r="J10" s="93">
        <f>Uzbekistan!J17</f>
        <v>9.6900220000000008</v>
      </c>
      <c r="K10" s="93">
        <f>Uzbekistan!K17</f>
        <v>9.5849989999999998</v>
      </c>
      <c r="L10" s="93">
        <f>Uzbekistan!L17</f>
        <v>9.2801690000000008</v>
      </c>
      <c r="M10" s="93">
        <f>Uzbekistan!M17</f>
        <v>9.095542</v>
      </c>
      <c r="N10" s="93">
        <f>Uzbekistan!N17</f>
        <v>9.1091800000000003</v>
      </c>
      <c r="O10" s="93">
        <f>Uzbekistan!O17</f>
        <v>8.9868220000000001</v>
      </c>
      <c r="P10" s="93">
        <f>Uzbekistan!R17</f>
        <v>8.6691990000000008</v>
      </c>
      <c r="Q10" s="93">
        <f>Uzbekistan!U17</f>
        <v>8.3771229999999992</v>
      </c>
      <c r="R10" s="93">
        <f>Uzbekistan!X17</f>
        <v>8.1383960000000002</v>
      </c>
      <c r="S10" s="93">
        <f>Uzbekistan!AA17</f>
        <v>7.745806</v>
      </c>
      <c r="T10" s="93">
        <f>Uzbekistan!AB17</f>
        <v>7.0913019999999998</v>
      </c>
      <c r="U10" s="93">
        <f>Uzbekistan!AC17</f>
        <v>6.8313410000000001</v>
      </c>
      <c r="V10" s="93">
        <f>Uzbekistan!AD17</f>
        <v>6.8082320000000003</v>
      </c>
      <c r="W10" s="93">
        <f>Uzbekistan!AE17</f>
        <v>6.770397</v>
      </c>
      <c r="X10" s="94">
        <f t="shared" si="0"/>
        <v>9.5065030000000004</v>
      </c>
      <c r="Y10" s="95">
        <f t="shared" si="1"/>
        <v>9.6900220000000008</v>
      </c>
      <c r="Z10" s="95">
        <f t="shared" si="2"/>
        <v>9.1091800000000003</v>
      </c>
      <c r="AA10" s="95">
        <f t="shared" si="4"/>
        <v>8.1383960000000002</v>
      </c>
      <c r="AB10" s="95">
        <f t="shared" si="3"/>
        <v>6.8082320000000003</v>
      </c>
    </row>
    <row r="11" spans="2:28" x14ac:dyDescent="0.35">
      <c r="B11" s="88" t="s">
        <v>95</v>
      </c>
      <c r="C11" s="93">
        <f>Kazakhstan!C17</f>
        <v>9.1790040000000008</v>
      </c>
      <c r="D11" s="93">
        <f>Kazakhstan!D17</f>
        <v>9.3527930000000001</v>
      </c>
      <c r="E11" s="93">
        <f>Kazakhstan!E17</f>
        <v>9.3992059999999995</v>
      </c>
      <c r="F11" s="93">
        <f>Kazakhstan!F17</f>
        <v>9.0230350000000001</v>
      </c>
      <c r="G11" s="93">
        <f>Kazakhstan!G17</f>
        <v>8.8765219999999996</v>
      </c>
      <c r="H11" s="93">
        <f>Kazakhstan!H17</f>
        <v>9.2416610000000006</v>
      </c>
      <c r="I11" s="93">
        <f>Kazakhstan!I17</f>
        <v>9.5471579999999996</v>
      </c>
      <c r="J11" s="93">
        <f>Kazakhstan!J17</f>
        <v>9.7697409999999998</v>
      </c>
      <c r="K11" s="93">
        <f>Kazakhstan!K17</f>
        <v>9.6931329999999996</v>
      </c>
      <c r="L11" s="93">
        <f>Kazakhstan!L17</f>
        <v>10.155194</v>
      </c>
      <c r="M11" s="93">
        <f>Kazakhstan!M17</f>
        <v>10.006683000000001</v>
      </c>
      <c r="N11" s="93">
        <f>Kazakhstan!N17</f>
        <v>9.9366439999999994</v>
      </c>
      <c r="O11" s="93">
        <f>Kazakhstan!O17</f>
        <v>9.6929339999999993</v>
      </c>
      <c r="P11" s="93">
        <f>Kazakhstan!R17</f>
        <v>10.044328999999999</v>
      </c>
      <c r="Q11" s="93">
        <f>Kazakhstan!U17</f>
        <v>10.245759</v>
      </c>
      <c r="R11" s="93">
        <f>Kazakhstan!X17</f>
        <v>10.188025</v>
      </c>
      <c r="S11" s="93">
        <f>Kazakhstan!AA17</f>
        <v>9.5840069999999997</v>
      </c>
      <c r="T11" s="93">
        <f>Kazakhstan!AB17</f>
        <v>9.4437680000000004</v>
      </c>
      <c r="U11" s="93">
        <f>Kazakhstan!AC17</f>
        <v>9.6879080000000002</v>
      </c>
      <c r="V11" s="93">
        <f>Kazakhstan!AD17</f>
        <v>9.5062069999999999</v>
      </c>
      <c r="W11" s="93">
        <f>Kazakhstan!AE17</f>
        <v>9.4788910000000008</v>
      </c>
      <c r="X11" s="94">
        <f t="shared" si="0"/>
        <v>9.0230350000000001</v>
      </c>
      <c r="Y11" s="95">
        <f t="shared" si="1"/>
        <v>9.7697409999999998</v>
      </c>
      <c r="Z11" s="95">
        <f t="shared" si="2"/>
        <v>9.9366439999999994</v>
      </c>
      <c r="AA11" s="95">
        <f t="shared" si="4"/>
        <v>10.188025</v>
      </c>
      <c r="AB11" s="95">
        <f t="shared" si="3"/>
        <v>9.5062069999999999</v>
      </c>
    </row>
    <row r="12" spans="2:28" x14ac:dyDescent="0.35">
      <c r="B12" s="88" t="s">
        <v>96</v>
      </c>
      <c r="C12" s="93">
        <f>15.004398-9.179</f>
        <v>5.8253979999999999</v>
      </c>
      <c r="D12" s="93">
        <f>15.139525-9.353</f>
        <v>5.786525000000001</v>
      </c>
      <c r="E12" s="93">
        <f>15.482444-9.399</f>
        <v>6.0834440000000001</v>
      </c>
      <c r="F12" s="93">
        <f>15.143093-9.023</f>
        <v>6.1200930000000007</v>
      </c>
      <c r="G12" s="93">
        <f>14.935238+0.285-8.877</f>
        <v>6.3432379999999995</v>
      </c>
      <c r="H12" s="93">
        <f>15.393773+0.289-9.242</f>
        <v>6.4407729999999983</v>
      </c>
      <c r="I12" s="93">
        <f>15.74+0.3-9.547</f>
        <v>6.4929999999999986</v>
      </c>
      <c r="J12" s="93">
        <f>15.95+0.249-9.77</f>
        <v>6.4289999999999985</v>
      </c>
      <c r="K12" s="93">
        <f>15.5-9.693</f>
        <v>5.8070000000000004</v>
      </c>
      <c r="L12" s="93">
        <f>14.89-10.155</f>
        <v>4.7350000000000012</v>
      </c>
      <c r="M12" s="93">
        <f>14.8-10.007</f>
        <v>4.793000000000001</v>
      </c>
      <c r="N12" s="93">
        <f>14.8-9.937</f>
        <v>4.8630000000000013</v>
      </c>
      <c r="O12" s="96">
        <f t="shared" ref="O12:R12" si="5">O13-SUM(O5:O11)</f>
        <v>4.6147579999999948</v>
      </c>
      <c r="P12" s="93">
        <f t="shared" si="5"/>
        <v>4.6620599999999968</v>
      </c>
      <c r="Q12" s="93">
        <f t="shared" si="5"/>
        <v>4.6912840000000244</v>
      </c>
      <c r="R12" s="97">
        <f t="shared" si="5"/>
        <v>4.5196119999999951</v>
      </c>
      <c r="S12" s="93">
        <f>S13-SUM(S5:S11)</f>
        <v>4.3358920000000012</v>
      </c>
      <c r="T12" s="93">
        <f>T13-SUM(T5:T11)</f>
        <v>4.0149899999999832</v>
      </c>
      <c r="U12" s="93">
        <f>U13-SUM(U5:U11)</f>
        <v>4.111409000000009</v>
      </c>
      <c r="V12" s="93">
        <f>V13-SUM(V5:V11)</f>
        <v>3.2517380000000173</v>
      </c>
      <c r="W12" s="93">
        <f>W13-SUM(W5:W11)</f>
        <v>3.0919529999999895</v>
      </c>
      <c r="X12" s="98">
        <f>F12</f>
        <v>6.1200930000000007</v>
      </c>
      <c r="Y12" s="95">
        <f t="shared" si="1"/>
        <v>6.4289999999999985</v>
      </c>
      <c r="Z12" s="95">
        <f t="shared" si="2"/>
        <v>4.8630000000000013</v>
      </c>
      <c r="AA12" s="95">
        <f t="shared" si="4"/>
        <v>4.5196119999999951</v>
      </c>
      <c r="AB12" s="99">
        <f t="shared" si="3"/>
        <v>3.2517380000000173</v>
      </c>
    </row>
    <row r="13" spans="2:28" ht="15" thickBot="1" x14ac:dyDescent="0.4">
      <c r="B13" s="100" t="s">
        <v>97</v>
      </c>
      <c r="C13" s="101">
        <f t="shared" ref="C13:X13" si="6">SUM(C5:C12)</f>
        <v>193.83760400000003</v>
      </c>
      <c r="D13" s="101">
        <f t="shared" si="6"/>
        <v>204.22095449136748</v>
      </c>
      <c r="E13" s="101">
        <f t="shared" si="6"/>
        <v>205.62626699999998</v>
      </c>
      <c r="F13" s="102">
        <f t="shared" si="6"/>
        <v>207.23629599999998</v>
      </c>
      <c r="G13" s="102">
        <f t="shared" si="6"/>
        <v>206.80065200000001</v>
      </c>
      <c r="H13" s="102">
        <f t="shared" si="6"/>
        <v>208.43567199999998</v>
      </c>
      <c r="I13" s="102">
        <f t="shared" si="6"/>
        <v>210.59348399999999</v>
      </c>
      <c r="J13" s="102">
        <f t="shared" ref="J13:N13" si="7">SUM(J5:J12)</f>
        <v>210.50343100000001</v>
      </c>
      <c r="K13" s="102">
        <f t="shared" si="7"/>
        <v>210.49796699999999</v>
      </c>
      <c r="L13" s="102">
        <f t="shared" si="7"/>
        <v>210.007259</v>
      </c>
      <c r="M13" s="102">
        <f t="shared" si="7"/>
        <v>210.68931599999999</v>
      </c>
      <c r="N13" s="102">
        <f t="shared" si="7"/>
        <v>209.90070500000002</v>
      </c>
      <c r="O13" s="102">
        <v>211.16816499999999</v>
      </c>
      <c r="P13" s="102">
        <v>211.87556900000001</v>
      </c>
      <c r="Q13" s="102">
        <v>211.71143000000001</v>
      </c>
      <c r="R13" s="102">
        <v>212.44751500000001</v>
      </c>
      <c r="S13" s="102">
        <v>210.94758400000001</v>
      </c>
      <c r="T13" s="102">
        <v>204.575885</v>
      </c>
      <c r="U13" s="102">
        <v>207.398132</v>
      </c>
      <c r="V13" s="102">
        <v>209.10247000000001</v>
      </c>
      <c r="W13" s="102">
        <v>212.74567400000001</v>
      </c>
      <c r="X13" s="103">
        <f t="shared" si="6"/>
        <v>207.23629599999998</v>
      </c>
      <c r="Y13" s="104">
        <f t="shared" ref="Y13:Z13" si="8">SUM(Y5:Y12)</f>
        <v>210.50343100000001</v>
      </c>
      <c r="Z13" s="104">
        <f t="shared" si="8"/>
        <v>209.90070500000002</v>
      </c>
      <c r="AA13" s="104">
        <f t="shared" ref="AA13:AB13" si="9">SUM(AA5:AA12)</f>
        <v>212.44751500000001</v>
      </c>
      <c r="AB13" s="105">
        <f t="shared" si="9"/>
        <v>209.10247000000001</v>
      </c>
    </row>
    <row r="14" spans="2:28" ht="15" thickTop="1" x14ac:dyDescent="0.35">
      <c r="B14" s="106"/>
      <c r="C14" s="107"/>
      <c r="D14" s="107"/>
      <c r="E14" s="107"/>
      <c r="F14" s="107"/>
      <c r="G14" s="108"/>
      <c r="H14" s="108"/>
      <c r="I14" s="108"/>
      <c r="J14" s="108"/>
      <c r="K14" s="108"/>
      <c r="L14" s="108"/>
      <c r="M14" s="108"/>
      <c r="N14" s="108"/>
      <c r="O14" s="109"/>
      <c r="P14" s="109"/>
      <c r="Q14" s="109"/>
      <c r="R14" s="109"/>
      <c r="S14" s="109"/>
      <c r="T14" s="109"/>
      <c r="U14" s="110"/>
      <c r="V14" s="110"/>
      <c r="W14" s="110"/>
      <c r="X14" s="111">
        <f>(W12-S12)/S12</f>
        <v>-0.2868934466079901</v>
      </c>
      <c r="Y14" s="112"/>
      <c r="Z14" s="112"/>
      <c r="AA14" s="107"/>
      <c r="AB14" s="107"/>
    </row>
    <row r="15" spans="2:28" ht="15" thickBot="1" x14ac:dyDescent="0.4"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14"/>
      <c r="R15" s="114"/>
      <c r="S15" s="107"/>
      <c r="T15" s="107"/>
      <c r="U15" s="107"/>
      <c r="V15" s="107"/>
      <c r="W15" s="107"/>
      <c r="X15" s="115"/>
      <c r="Y15" s="107"/>
      <c r="Z15" s="107"/>
      <c r="AA15" s="107"/>
      <c r="AB15" s="107"/>
    </row>
    <row r="16" spans="2:28" ht="15.5" thickTop="1" thickBot="1" x14ac:dyDescent="0.4">
      <c r="B16" s="83" t="s">
        <v>98</v>
      </c>
      <c r="C16" s="43" t="s">
        <v>92</v>
      </c>
      <c r="D16" s="43" t="s">
        <v>93</v>
      </c>
      <c r="E16" s="43" t="s">
        <v>44</v>
      </c>
      <c r="F16" s="84" t="s">
        <v>45</v>
      </c>
      <c r="G16" s="84" t="s">
        <v>46</v>
      </c>
      <c r="H16" s="43" t="s">
        <v>47</v>
      </c>
      <c r="I16" s="43" t="s">
        <v>48</v>
      </c>
      <c r="J16" s="43" t="s">
        <v>49</v>
      </c>
      <c r="K16" s="43" t="s">
        <v>50</v>
      </c>
      <c r="L16" s="43" t="s">
        <v>51</v>
      </c>
      <c r="M16" s="43" t="s">
        <v>52</v>
      </c>
      <c r="N16" s="43" t="s">
        <v>53</v>
      </c>
      <c r="O16" s="84" t="s">
        <v>54</v>
      </c>
      <c r="P16" s="84" t="s">
        <v>57</v>
      </c>
      <c r="Q16" s="84" t="s">
        <v>59</v>
      </c>
      <c r="R16" s="84" t="s">
        <v>61</v>
      </c>
      <c r="S16" s="84" t="s">
        <v>7</v>
      </c>
      <c r="T16" s="84" t="s">
        <v>63</v>
      </c>
      <c r="U16" s="84" t="s">
        <v>64</v>
      </c>
      <c r="V16" s="84" t="s">
        <v>65</v>
      </c>
      <c r="W16" s="84" t="s">
        <v>6</v>
      </c>
      <c r="X16" s="86" t="s">
        <v>94</v>
      </c>
      <c r="Y16" s="43" t="s">
        <v>67</v>
      </c>
      <c r="Z16" s="84" t="s">
        <v>68</v>
      </c>
      <c r="AA16" s="84" t="s">
        <v>69</v>
      </c>
      <c r="AB16" s="87" t="s">
        <v>71</v>
      </c>
    </row>
    <row r="17" spans="2:28" x14ac:dyDescent="0.35">
      <c r="B17" s="88" t="s">
        <v>14</v>
      </c>
      <c r="C17" s="89">
        <v>2.1892230000000001</v>
      </c>
      <c r="D17" s="89">
        <v>2.1527750000000001</v>
      </c>
      <c r="E17" s="89">
        <v>2.1330550000000001</v>
      </c>
      <c r="F17" s="90">
        <v>2.1789700000000001</v>
      </c>
      <c r="G17" s="90">
        <v>2.1740979999999999</v>
      </c>
      <c r="H17" s="116">
        <v>2.1814770000000001</v>
      </c>
      <c r="I17" s="116">
        <v>2.1871139999999998</v>
      </c>
      <c r="J17" s="116">
        <v>2.2000000000000002</v>
      </c>
      <c r="K17" s="116">
        <v>2.2622420000000001</v>
      </c>
      <c r="L17" s="116">
        <v>2.2869860000000002</v>
      </c>
      <c r="M17" s="116">
        <v>2.3198120000000002</v>
      </c>
      <c r="N17" s="116">
        <v>2.409484</v>
      </c>
      <c r="O17" s="116">
        <v>2.4581430000000002</v>
      </c>
      <c r="P17" s="92">
        <v>2.4933169999999998</v>
      </c>
      <c r="Q17" s="92">
        <v>2.5492750000000002</v>
      </c>
      <c r="R17" s="92">
        <v>2.6256550000000001</v>
      </c>
      <c r="S17" s="92">
        <f>Russia!AA59</f>
        <v>2.666846</v>
      </c>
      <c r="T17" s="92">
        <f>Russia!AB59</f>
        <v>2.6896879999999999</v>
      </c>
      <c r="U17" s="92">
        <f>Russia!AC59</f>
        <v>2.7749220000000001</v>
      </c>
      <c r="V17" s="92">
        <f>Russia!AD59</f>
        <v>2.8403909999999999</v>
      </c>
      <c r="W17" s="92">
        <f>Russia!AE59</f>
        <v>2.8552390000000001</v>
      </c>
      <c r="X17" s="117">
        <f t="shared" ref="X17:X22" si="10">F17</f>
        <v>2.1789700000000001</v>
      </c>
      <c r="Y17" s="116">
        <f>Russia!AG28</f>
        <v>2.2406549999999998</v>
      </c>
      <c r="Z17" s="92">
        <f t="shared" ref="Z17:Z25" si="11">N17</f>
        <v>2.409484</v>
      </c>
      <c r="AA17" s="95">
        <f>R17</f>
        <v>2.6256550000000001</v>
      </c>
      <c r="AB17" s="95">
        <f t="shared" ref="AB17:AB24" si="12">V17</f>
        <v>2.8403909999999999</v>
      </c>
    </row>
    <row r="18" spans="2:28" x14ac:dyDescent="0.35">
      <c r="B18" s="88" t="s">
        <v>20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8">
        <f t="shared" si="10"/>
        <v>0</v>
      </c>
      <c r="Y18" s="118">
        <f>J18</f>
        <v>0</v>
      </c>
      <c r="Z18" s="95">
        <f t="shared" si="11"/>
        <v>0</v>
      </c>
      <c r="AA18" s="95">
        <f t="shared" ref="AA18:AA24" si="13">R18</f>
        <v>0</v>
      </c>
      <c r="AB18" s="95">
        <f t="shared" si="12"/>
        <v>0</v>
      </c>
    </row>
    <row r="19" spans="2:28" x14ac:dyDescent="0.35">
      <c r="B19" s="88" t="s">
        <v>17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8">
        <f t="shared" si="10"/>
        <v>0</v>
      </c>
      <c r="Y19" s="118">
        <f>J19</f>
        <v>0</v>
      </c>
      <c r="Z19" s="95">
        <f t="shared" si="11"/>
        <v>0</v>
      </c>
      <c r="AA19" s="95">
        <f t="shared" si="13"/>
        <v>0</v>
      </c>
      <c r="AB19" s="95">
        <f t="shared" si="12"/>
        <v>0</v>
      </c>
    </row>
    <row r="20" spans="2:28" x14ac:dyDescent="0.35">
      <c r="B20" s="88" t="s">
        <v>24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8">
        <f t="shared" si="10"/>
        <v>0</v>
      </c>
      <c r="Y20" s="118">
        <f>J20</f>
        <v>0</v>
      </c>
      <c r="Z20" s="95">
        <f t="shared" si="11"/>
        <v>0</v>
      </c>
      <c r="AA20" s="95">
        <f t="shared" si="13"/>
        <v>0</v>
      </c>
      <c r="AB20" s="95">
        <f t="shared" si="12"/>
        <v>0</v>
      </c>
    </row>
    <row r="21" spans="2:28" x14ac:dyDescent="0.35">
      <c r="B21" s="88" t="s">
        <v>27</v>
      </c>
      <c r="C21" s="93">
        <v>0.81482399999999999</v>
      </c>
      <c r="D21" s="93">
        <v>0.80828800000000001</v>
      </c>
      <c r="E21" s="93">
        <v>0.80634476666666666</v>
      </c>
      <c r="F21" s="93">
        <v>0.81767900000000004</v>
      </c>
      <c r="G21" s="93">
        <v>0.83201700000000001</v>
      </c>
      <c r="H21" s="95">
        <v>0.80788800000000005</v>
      </c>
      <c r="I21" s="95">
        <v>0.80474699999999999</v>
      </c>
      <c r="J21" s="95">
        <v>0.82384000000000002</v>
      </c>
      <c r="K21" s="95">
        <f>Ukraine!K52</f>
        <v>0.83968699999999996</v>
      </c>
      <c r="L21" s="95">
        <f>Ukraine!L52</f>
        <v>0.858186</v>
      </c>
      <c r="M21" s="95">
        <f>Ukraine!M52</f>
        <v>0.88391200000000003</v>
      </c>
      <c r="N21" s="95">
        <f>Ukraine!N52</f>
        <v>0.91247199999999995</v>
      </c>
      <c r="O21" s="95">
        <f>Ukraine!O52</f>
        <v>0.93850299999999998</v>
      </c>
      <c r="P21" s="95">
        <f>Ukraine!R52</f>
        <v>0.95662199999999997</v>
      </c>
      <c r="Q21" s="96">
        <f>Ukraine!U52</f>
        <v>0.98147399999999996</v>
      </c>
      <c r="R21" s="93">
        <f>Ukraine!X52</f>
        <v>1.011209</v>
      </c>
      <c r="S21" s="95">
        <f>Ukraine!AA52</f>
        <v>1.032281</v>
      </c>
      <c r="T21" s="95">
        <f>Ukraine!AB52</f>
        <v>1.044028</v>
      </c>
      <c r="U21" s="95">
        <f>Ukraine!AC52</f>
        <v>1.0798410000000001</v>
      </c>
      <c r="V21" s="95">
        <f>Ukraine!AD52</f>
        <v>1.121216</v>
      </c>
      <c r="W21" s="95">
        <f>Ukraine!AE52</f>
        <v>1.1510549999999999</v>
      </c>
      <c r="X21" s="98">
        <f t="shared" si="10"/>
        <v>0.81767900000000004</v>
      </c>
      <c r="Y21" s="95">
        <f>J21</f>
        <v>0.82384000000000002</v>
      </c>
      <c r="Z21" s="95">
        <f t="shared" si="11"/>
        <v>0.91247199999999995</v>
      </c>
      <c r="AA21" s="95">
        <f t="shared" si="13"/>
        <v>1.011209</v>
      </c>
      <c r="AB21" s="95">
        <f t="shared" si="12"/>
        <v>1.121216</v>
      </c>
    </row>
    <row r="22" spans="2:28" x14ac:dyDescent="0.35">
      <c r="B22" s="88" t="s">
        <v>30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1.2422000000000001E-2</v>
      </c>
      <c r="T22" s="93">
        <v>0</v>
      </c>
      <c r="U22" s="93">
        <v>0</v>
      </c>
      <c r="V22" s="93">
        <v>0</v>
      </c>
      <c r="W22" s="93">
        <v>0</v>
      </c>
      <c r="X22" s="98">
        <f t="shared" si="10"/>
        <v>0</v>
      </c>
      <c r="Y22" s="118">
        <f>J22</f>
        <v>0</v>
      </c>
      <c r="Z22" s="95">
        <f t="shared" si="11"/>
        <v>0</v>
      </c>
      <c r="AA22" s="95">
        <f t="shared" si="13"/>
        <v>0</v>
      </c>
      <c r="AB22" s="95">
        <f t="shared" si="12"/>
        <v>0</v>
      </c>
    </row>
    <row r="23" spans="2:28" x14ac:dyDescent="0.35">
      <c r="B23" s="88" t="s">
        <v>95</v>
      </c>
      <c r="C23" s="93">
        <f>Kazakhstan!C52</f>
        <v>0.23214899999999999</v>
      </c>
      <c r="D23" s="93">
        <f>Kazakhstan!D52</f>
        <v>0.24801999999999999</v>
      </c>
      <c r="E23" s="93">
        <f>Kazakhstan!E52</f>
        <v>0.261737</v>
      </c>
      <c r="F23" s="93">
        <f>Kazakhstan!F52</f>
        <v>0.27920800000000001</v>
      </c>
      <c r="G23" s="93">
        <f>Kazakhstan!G52</f>
        <v>0.29259800000000002</v>
      </c>
      <c r="H23" s="93">
        <f>Kazakhstan!H52</f>
        <v>0.297072</v>
      </c>
      <c r="I23" s="93">
        <f>Kazakhstan!I52</f>
        <v>0.307836</v>
      </c>
      <c r="J23" s="93">
        <f>Kazakhstan!J52</f>
        <v>0.33210699999999999</v>
      </c>
      <c r="K23" s="93">
        <f>Kazakhstan!K52</f>
        <v>0.34767500000000001</v>
      </c>
      <c r="L23" s="93">
        <f>Kazakhstan!L52</f>
        <v>0.35211500000000001</v>
      </c>
      <c r="M23" s="93">
        <f>Kazakhstan!M52</f>
        <v>0.36602200000000001</v>
      </c>
      <c r="N23" s="93">
        <f>Kazakhstan!N52</f>
        <v>0.38549899999999998</v>
      </c>
      <c r="O23" s="93">
        <f>Kazakhstan!O52</f>
        <v>0.39754299999999998</v>
      </c>
      <c r="P23" s="93">
        <f>Kazakhstan!R52</f>
        <v>0.406723</v>
      </c>
      <c r="Q23" s="93">
        <f>Kazakhstan!U52</f>
        <v>0.40183799999999997</v>
      </c>
      <c r="R23" s="93">
        <f>Kazakhstan!X52</f>
        <v>0.41662700000000003</v>
      </c>
      <c r="S23" s="93">
        <f>Kazakhstan!AA52</f>
        <v>0.44057099999999999</v>
      </c>
      <c r="T23" s="97">
        <f>Kazakhstan!AB52</f>
        <v>0.46297700000000003</v>
      </c>
      <c r="U23" s="93">
        <f>Kazakhstan!AC52</f>
        <v>0.46298</v>
      </c>
      <c r="V23" s="93">
        <f>Kazakhstan!AD52</f>
        <v>0.48805100000000001</v>
      </c>
      <c r="W23" s="93">
        <f>Kazakhstan!AE52</f>
        <v>0.50671200000000005</v>
      </c>
      <c r="X23" s="98"/>
      <c r="Y23" s="118"/>
      <c r="Z23" s="95"/>
      <c r="AA23" s="95">
        <f t="shared" si="13"/>
        <v>0.41662700000000003</v>
      </c>
      <c r="AB23" s="95">
        <f t="shared" si="12"/>
        <v>0.48805100000000001</v>
      </c>
    </row>
    <row r="24" spans="2:28" x14ac:dyDescent="0.35">
      <c r="B24" s="88" t="s">
        <v>96</v>
      </c>
      <c r="C24" s="93">
        <f>0.377168-0.232</f>
        <v>0.14516799999999999</v>
      </c>
      <c r="D24" s="93">
        <f>0.392054-0.248</f>
        <v>0.14405400000000002</v>
      </c>
      <c r="E24" s="93">
        <f>0.404274-0.262</f>
        <v>0.14227400000000001</v>
      </c>
      <c r="F24" s="93">
        <f>0.420587-0.279</f>
        <v>0.14158699999999996</v>
      </c>
      <c r="G24" s="93">
        <f>0.434197-0.293</f>
        <v>0.14119700000000002</v>
      </c>
      <c r="H24" s="93">
        <f>0.439451-0.297</f>
        <v>0.14245099999999999</v>
      </c>
      <c r="I24" s="93">
        <f>0.450201-0.308</f>
        <v>0.14220100000000002</v>
      </c>
      <c r="J24" s="93">
        <f>0.3+0.13115-0.332</f>
        <v>9.914999999999996E-2</v>
      </c>
      <c r="K24" s="93">
        <v>0.12599400000000005</v>
      </c>
      <c r="L24" s="93">
        <v>0.12461600000000006</v>
      </c>
      <c r="M24" s="93">
        <v>0.121921</v>
      </c>
      <c r="N24" s="93">
        <v>0.11910500000000002</v>
      </c>
      <c r="O24" s="93">
        <f t="shared" ref="O24:R24" si="14">O25-SUM(O17:O23)</f>
        <v>0.11530299999999993</v>
      </c>
      <c r="P24" s="93">
        <f t="shared" si="14"/>
        <v>0.11282900000000051</v>
      </c>
      <c r="Q24" s="96">
        <f t="shared" si="14"/>
        <v>0.10988399999999965</v>
      </c>
      <c r="R24" s="95">
        <f t="shared" si="14"/>
        <v>0.10893399999999964</v>
      </c>
      <c r="S24" s="93">
        <f>S25-SUM(S17:S23)</f>
        <v>0.10888399999999976</v>
      </c>
      <c r="T24" s="93">
        <f>T25-SUM(T17:T23)</f>
        <v>0.10761000000000021</v>
      </c>
      <c r="U24" s="93">
        <f>U25-SUM(U17:U23)</f>
        <v>0.10611000000000015</v>
      </c>
      <c r="V24" s="93">
        <f>V25-SUM(V17:V23)</f>
        <v>1.1000000000649379E-5</v>
      </c>
      <c r="W24" s="93">
        <f>W25-SUM(W17:W23)</f>
        <v>1.0999999998873022E-5</v>
      </c>
      <c r="X24" s="98">
        <v>0.141379</v>
      </c>
      <c r="Y24" s="118">
        <v>0.33210699999999999</v>
      </c>
      <c r="Z24" s="95">
        <f t="shared" si="11"/>
        <v>0.11910500000000002</v>
      </c>
      <c r="AA24" s="95">
        <f t="shared" si="13"/>
        <v>0.10893399999999964</v>
      </c>
      <c r="AB24" s="95">
        <f t="shared" si="12"/>
        <v>1.1000000000649379E-5</v>
      </c>
    </row>
    <row r="25" spans="2:28" ht="15" thickBot="1" x14ac:dyDescent="0.4">
      <c r="B25" s="100" t="s">
        <v>97</v>
      </c>
      <c r="C25" s="102">
        <f t="shared" ref="C25:M25" si="15">SUM(C17:C24)</f>
        <v>3.381364</v>
      </c>
      <c r="D25" s="102">
        <f t="shared" si="15"/>
        <v>3.3531370000000003</v>
      </c>
      <c r="E25" s="102">
        <f t="shared" si="15"/>
        <v>3.343410766666667</v>
      </c>
      <c r="F25" s="102">
        <f t="shared" si="15"/>
        <v>3.4174440000000001</v>
      </c>
      <c r="G25" s="102">
        <f t="shared" si="15"/>
        <v>3.4399099999999998</v>
      </c>
      <c r="H25" s="102">
        <f t="shared" si="15"/>
        <v>3.4288880000000002</v>
      </c>
      <c r="I25" s="102">
        <v>3.5</v>
      </c>
      <c r="J25" s="102">
        <f t="shared" si="15"/>
        <v>3.4550970000000003</v>
      </c>
      <c r="K25" s="102">
        <f t="shared" si="15"/>
        <v>3.5755980000000003</v>
      </c>
      <c r="L25" s="102">
        <f t="shared" si="15"/>
        <v>3.6219030000000001</v>
      </c>
      <c r="M25" s="102">
        <f t="shared" si="15"/>
        <v>3.6916670000000003</v>
      </c>
      <c r="N25" s="102">
        <f t="shared" ref="N25" si="16">SUM(N17:N24)</f>
        <v>3.8265599999999997</v>
      </c>
      <c r="O25" s="102">
        <v>3.9094920000000002</v>
      </c>
      <c r="P25" s="102">
        <v>3.9694910000000001</v>
      </c>
      <c r="Q25" s="102">
        <v>4.0424709999999999</v>
      </c>
      <c r="R25" s="102">
        <v>4.1624249999999998</v>
      </c>
      <c r="S25" s="102">
        <v>4.2610039999999998</v>
      </c>
      <c r="T25" s="119">
        <v>4.304303</v>
      </c>
      <c r="U25" s="102">
        <v>4.4238530000000003</v>
      </c>
      <c r="V25" s="102">
        <v>4.4496690000000001</v>
      </c>
      <c r="W25" s="120">
        <v>4.5130169999999996</v>
      </c>
      <c r="X25" s="121">
        <f>SUM(X17:X24)</f>
        <v>3.1380280000000003</v>
      </c>
      <c r="Y25" s="122">
        <f>J25</f>
        <v>3.4550970000000003</v>
      </c>
      <c r="Z25" s="104">
        <f t="shared" si="11"/>
        <v>3.8265599999999997</v>
      </c>
      <c r="AA25" s="104">
        <f t="shared" ref="AA25:AB25" si="17">SUM(AA17:AA24)</f>
        <v>4.1624249999999998</v>
      </c>
      <c r="AB25" s="105">
        <f t="shared" si="17"/>
        <v>4.4496690000000001</v>
      </c>
    </row>
    <row r="26" spans="2:28" ht="15" thickTop="1" x14ac:dyDescent="0.35">
      <c r="B26" s="12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13"/>
      <c r="Y26" s="113"/>
      <c r="Z26" s="113"/>
      <c r="AA26" s="113"/>
      <c r="AB26" s="113"/>
    </row>
    <row r="27" spans="2:28" x14ac:dyDescent="0.35">
      <c r="B27" s="125"/>
      <c r="O27" s="124"/>
      <c r="P27" s="124"/>
      <c r="Q27" s="124"/>
      <c r="R27" s="124"/>
      <c r="S27" s="124"/>
      <c r="T27" s="124"/>
      <c r="U27" s="124"/>
      <c r="V27" s="124"/>
      <c r="W27" s="124"/>
    </row>
    <row r="28" spans="2:28" x14ac:dyDescent="0.35">
      <c r="B28" s="125"/>
      <c r="Q28" s="124"/>
      <c r="R28" s="124"/>
      <c r="S28" s="124"/>
      <c r="T28" s="124"/>
      <c r="U28" s="124"/>
      <c r="V28" s="124"/>
      <c r="W28" s="124"/>
    </row>
    <row r="29" spans="2:28" x14ac:dyDescent="0.35"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/>
      <c r="P29" s="127"/>
      <c r="Q29" s="124"/>
      <c r="R29" s="124"/>
      <c r="S29" s="124"/>
      <c r="T29" s="124"/>
      <c r="U29" s="124"/>
      <c r="V29" s="124"/>
      <c r="W29" s="124"/>
      <c r="X29" s="128"/>
      <c r="Y29" s="126"/>
    </row>
    <row r="30" spans="2:28" x14ac:dyDescent="0.35"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4"/>
      <c r="R30" s="124"/>
      <c r="S30" s="124"/>
      <c r="T30" s="124"/>
      <c r="U30" s="124"/>
      <c r="V30" s="124"/>
      <c r="W30" s="124"/>
      <c r="X30" s="128"/>
      <c r="Y30" s="129"/>
    </row>
    <row r="31" spans="2:28" x14ac:dyDescent="0.35">
      <c r="Q31" s="124"/>
      <c r="R31" s="124"/>
      <c r="S31" s="124"/>
      <c r="T31" s="124"/>
      <c r="U31" s="124"/>
      <c r="V31" s="124"/>
      <c r="W31" s="124"/>
      <c r="X31" s="128"/>
    </row>
    <row r="32" spans="2:28" x14ac:dyDescent="0.35">
      <c r="Q32" s="124"/>
      <c r="R32" s="124"/>
      <c r="S32" s="124"/>
      <c r="T32" s="124"/>
      <c r="U32" s="124"/>
      <c r="V32" s="124"/>
      <c r="W32" s="124"/>
      <c r="X32" s="128"/>
    </row>
    <row r="33" spans="17:24" x14ac:dyDescent="0.35">
      <c r="Q33" s="124"/>
      <c r="R33" s="124"/>
      <c r="S33" s="124"/>
      <c r="T33" s="124"/>
      <c r="U33" s="124"/>
      <c r="V33" s="124"/>
      <c r="W33" s="124"/>
      <c r="X33" s="128"/>
    </row>
    <row r="34" spans="17:24" x14ac:dyDescent="0.35">
      <c r="Q34" s="124"/>
      <c r="R34" s="124"/>
      <c r="S34" s="124"/>
      <c r="T34" s="124"/>
      <c r="U34" s="124"/>
      <c r="V34" s="124"/>
      <c r="W34" s="124"/>
      <c r="X34" s="128"/>
    </row>
    <row r="35" spans="17:24" x14ac:dyDescent="0.35">
      <c r="Q35" s="124"/>
      <c r="R35" s="124"/>
      <c r="S35" s="124"/>
      <c r="T35" s="124"/>
      <c r="U35" s="124"/>
      <c r="V35" s="124"/>
      <c r="W35" s="124"/>
      <c r="X35" s="128"/>
    </row>
    <row r="36" spans="17:24" x14ac:dyDescent="0.35">
      <c r="Q36" s="124"/>
      <c r="R36" s="124"/>
      <c r="S36" s="124"/>
      <c r="T36" s="124"/>
      <c r="U36" s="124"/>
      <c r="V36" s="124"/>
      <c r="W36" s="124"/>
      <c r="X36" s="128"/>
    </row>
    <row r="37" spans="17:24" x14ac:dyDescent="0.35">
      <c r="Q37" s="124"/>
      <c r="R37" s="124"/>
      <c r="S37" s="124"/>
      <c r="T37" s="124"/>
      <c r="U37" s="124"/>
      <c r="V37" s="124"/>
      <c r="W37" s="124"/>
      <c r="X37" s="128"/>
    </row>
    <row r="38" spans="17:24" x14ac:dyDescent="0.35">
      <c r="Q38" s="124"/>
      <c r="R38" s="124"/>
      <c r="S38" s="124"/>
      <c r="T38" s="124"/>
      <c r="U38" s="124"/>
      <c r="V38" s="124"/>
      <c r="W38" s="124"/>
      <c r="X38" s="128"/>
    </row>
    <row r="39" spans="17:24" x14ac:dyDescent="0.35">
      <c r="Q39" s="124"/>
      <c r="R39" s="124"/>
      <c r="S39" s="124"/>
      <c r="T39" s="124"/>
      <c r="U39" s="124"/>
      <c r="V39" s="124"/>
      <c r="W39" s="124"/>
      <c r="X39" s="128"/>
    </row>
    <row r="40" spans="17:24" x14ac:dyDescent="0.35">
      <c r="X40" s="128"/>
    </row>
    <row r="41" spans="17:24" x14ac:dyDescent="0.35">
      <c r="X41" s="128"/>
    </row>
    <row r="42" spans="17:24" x14ac:dyDescent="0.35">
      <c r="X42" s="128"/>
    </row>
    <row r="43" spans="17:24" x14ac:dyDescent="0.35">
      <c r="X43" s="128"/>
    </row>
    <row r="44" spans="17:24" x14ac:dyDescent="0.35">
      <c r="X44" s="128"/>
    </row>
    <row r="45" spans="17:24" x14ac:dyDescent="0.35">
      <c r="X45" s="128"/>
    </row>
    <row r="46" spans="17:24" x14ac:dyDescent="0.35">
      <c r="X46" s="128"/>
    </row>
    <row r="47" spans="17:24" x14ac:dyDescent="0.35">
      <c r="X47" s="128"/>
    </row>
    <row r="48" spans="17:24" x14ac:dyDescent="0.35">
      <c r="X48" s="128"/>
    </row>
    <row r="49" spans="24:24" x14ac:dyDescent="0.35">
      <c r="X49" s="128"/>
    </row>
    <row r="50" spans="24:24" x14ac:dyDescent="0.35">
      <c r="X50" s="128"/>
    </row>
  </sheetData>
  <mergeCells count="2">
    <mergeCell ref="E1:I1"/>
    <mergeCell ref="E2:I2"/>
  </mergeCells>
  <hyperlinks>
    <hyperlink ref="B2" location="Index!A1" display="index page" xr:uid="{A1077E5A-675D-4CE1-B7EC-B5996A214E8C}"/>
  </hyperlinks>
  <pageMargins left="0.25" right="0.25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8F127-DBFA-4C3E-B76E-17B507A0B631}">
  <sheetPr>
    <pageSetUpPr fitToPage="1"/>
  </sheetPr>
  <dimension ref="B1:AM123"/>
  <sheetViews>
    <sheetView showGridLines="0" view="pageBreakPreview" zoomScaleNormal="90" zoomScaleSheetLayoutView="100" workbookViewId="0">
      <pane xSplit="2" ySplit="4" topLeftCell="Q5" activePane="bottomRight" state="frozen"/>
      <selection activeCell="K31" sqref="K31"/>
      <selection pane="topRight" activeCell="K31" sqref="K31"/>
      <selection pane="bottomLeft" activeCell="K31" sqref="K31"/>
      <selection pane="bottomRight" activeCell="Q1" sqref="Q1:Z1048576"/>
    </sheetView>
  </sheetViews>
  <sheetFormatPr defaultColWidth="9.1796875" defaultRowHeight="11.5" outlineLevelCol="1" x14ac:dyDescent="0.25"/>
  <cols>
    <col min="1" max="1" width="1.453125" style="141" customWidth="1"/>
    <col min="2" max="2" width="55.7265625" style="141" customWidth="1"/>
    <col min="3" max="16" width="11" style="82" hidden="1" customWidth="1" outlineLevel="1"/>
    <col min="17" max="17" width="11" style="202" customWidth="1" collapsed="1"/>
    <col min="18" max="19" width="11" style="82" customWidth="1"/>
    <col min="20" max="20" width="11" style="202" customWidth="1"/>
    <col min="21" max="22" width="11" style="82" customWidth="1"/>
    <col min="23" max="23" width="11" style="202" customWidth="1"/>
    <col min="24" max="25" width="11" style="82" customWidth="1"/>
    <col min="26" max="26" width="11" style="202" customWidth="1"/>
    <col min="27" max="31" width="11" style="82" customWidth="1"/>
    <col min="32" max="34" width="11" style="82" hidden="1" customWidth="1" outlineLevel="1"/>
    <col min="35" max="35" width="11" style="82" customWidth="1" collapsed="1"/>
    <col min="36" max="38" width="11" style="82" customWidth="1"/>
    <col min="39" max="39" width="9.7265625" style="141" customWidth="1"/>
    <col min="40" max="159" width="9.1796875" style="141"/>
    <col min="160" max="160" width="55.7265625" style="141" customWidth="1"/>
    <col min="161" max="164" width="9.7265625" style="141" customWidth="1"/>
    <col min="165" max="165" width="10.26953125" style="141" customWidth="1"/>
    <col min="166" max="168" width="9.7265625" style="141" customWidth="1"/>
    <col min="169" max="16384" width="9.1796875" style="141"/>
  </cols>
  <sheetData>
    <row r="1" spans="2:39" s="82" customFormat="1" x14ac:dyDescent="0.25">
      <c r="B1" s="30" t="s">
        <v>14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2:39" s="82" customFormat="1" x14ac:dyDescent="0.25">
      <c r="B2" s="34" t="s">
        <v>39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</row>
    <row r="3" spans="2:39" s="28" customFormat="1" ht="12" thickBot="1" x14ac:dyDescent="0.3">
      <c r="B3" s="36" t="s">
        <v>40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32"/>
      <c r="V3" s="132"/>
      <c r="W3" s="133"/>
      <c r="X3" s="132"/>
      <c r="Y3" s="132"/>
      <c r="Z3" s="133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</row>
    <row r="4" spans="2:39" s="82" customFormat="1" ht="12.5" thickTop="1" thickBot="1" x14ac:dyDescent="0.3">
      <c r="B4" s="38" t="s">
        <v>99</v>
      </c>
      <c r="C4" s="43" t="s">
        <v>92</v>
      </c>
      <c r="D4" s="43" t="s">
        <v>93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43" t="s">
        <v>7</v>
      </c>
      <c r="AB4" s="43" t="s">
        <v>63</v>
      </c>
      <c r="AC4" s="43" t="s">
        <v>64</v>
      </c>
      <c r="AD4" s="43" t="s">
        <v>65</v>
      </c>
      <c r="AE4" s="43" t="s">
        <v>6</v>
      </c>
      <c r="AF4" s="134" t="s">
        <v>94</v>
      </c>
      <c r="AG4" s="43" t="s">
        <v>67</v>
      </c>
      <c r="AH4" s="43" t="s">
        <v>68</v>
      </c>
      <c r="AI4" s="43" t="s">
        <v>69</v>
      </c>
      <c r="AJ4" s="43" t="s">
        <v>55</v>
      </c>
      <c r="AK4" s="43" t="s">
        <v>70</v>
      </c>
      <c r="AL4" s="43" t="s">
        <v>71</v>
      </c>
    </row>
    <row r="5" spans="2:39" x14ac:dyDescent="0.25">
      <c r="B5" s="135" t="s">
        <v>72</v>
      </c>
      <c r="C5" s="136">
        <v>884.58787217000008</v>
      </c>
      <c r="D5" s="136">
        <v>1008.3446239100001</v>
      </c>
      <c r="E5" s="136">
        <v>1091.3660563600001</v>
      </c>
      <c r="F5" s="136">
        <v>1112.37840233</v>
      </c>
      <c r="G5" s="136">
        <v>1096.7684031900001</v>
      </c>
      <c r="H5" s="136">
        <v>1196.8981871999999</v>
      </c>
      <c r="I5" s="136">
        <v>1228.80219829</v>
      </c>
      <c r="J5" s="136">
        <v>1205.5224906600004</v>
      </c>
      <c r="K5" s="136">
        <v>1166.4768782599997</v>
      </c>
      <c r="L5" s="136">
        <v>1173.7174906700002</v>
      </c>
      <c r="M5" s="136">
        <v>1172.2754199499998</v>
      </c>
      <c r="N5" s="136">
        <v>1141.5356923299998</v>
      </c>
      <c r="O5" s="136">
        <v>1047.7344808900002</v>
      </c>
      <c r="P5" s="136"/>
      <c r="Q5" s="136">
        <f>O5</f>
        <v>1047.7344808900002</v>
      </c>
      <c r="R5" s="136">
        <v>1123.9473202700001</v>
      </c>
      <c r="S5" s="136"/>
      <c r="T5" s="136">
        <f>R5</f>
        <v>1123.9473202700001</v>
      </c>
      <c r="U5" s="136">
        <v>1157.19340061</v>
      </c>
      <c r="V5" s="136"/>
      <c r="W5" s="136">
        <f>U5</f>
        <v>1157.19340061</v>
      </c>
      <c r="X5" s="136">
        <v>1151.7606822100001</v>
      </c>
      <c r="Y5" s="136"/>
      <c r="Z5" s="136">
        <f>X5</f>
        <v>1151.7606822100001</v>
      </c>
      <c r="AA5" s="132">
        <v>1020.4670626400001</v>
      </c>
      <c r="AB5" s="132">
        <v>906.86626568000008</v>
      </c>
      <c r="AC5" s="132">
        <v>946.40382580999994</v>
      </c>
      <c r="AD5" s="132">
        <v>944.99011315999996</v>
      </c>
      <c r="AE5" s="132">
        <v>920.09437756000011</v>
      </c>
      <c r="AF5" s="137">
        <f>SUM(C5:F5)</f>
        <v>4096.6769547700005</v>
      </c>
      <c r="AG5" s="132">
        <f>SUM(G5:J5)</f>
        <v>4727.9912793400008</v>
      </c>
      <c r="AH5" s="132">
        <f>SUM(K5:N5)</f>
        <v>4654.0054812099988</v>
      </c>
      <c r="AI5" s="132">
        <f>SUM(O5,R5,U5,X5)</f>
        <v>4480.6358839800005</v>
      </c>
      <c r="AJ5" s="138"/>
      <c r="AK5" s="132">
        <f>AI5</f>
        <v>4480.6358839800005</v>
      </c>
      <c r="AL5" s="132">
        <f>SUM(AA5:AD5)</f>
        <v>3818.7272672899999</v>
      </c>
      <c r="AM5" s="139"/>
    </row>
    <row r="6" spans="2:39" x14ac:dyDescent="0.25">
      <c r="B6" s="135" t="s">
        <v>74</v>
      </c>
      <c r="C6" s="132">
        <v>327.56773505000007</v>
      </c>
      <c r="D6" s="132">
        <v>414.02738506000009</v>
      </c>
      <c r="E6" s="132">
        <v>413.34493386000003</v>
      </c>
      <c r="F6" s="132">
        <v>418.87275094000006</v>
      </c>
      <c r="G6" s="132">
        <v>409.07588771000007</v>
      </c>
      <c r="H6" s="132">
        <v>471.08746366000008</v>
      </c>
      <c r="I6" s="132">
        <v>479.4026310299999</v>
      </c>
      <c r="J6" s="132">
        <v>429.92356368000031</v>
      </c>
      <c r="K6" s="132">
        <v>443.11969026999998</v>
      </c>
      <c r="L6" s="132">
        <v>441.32163490999994</v>
      </c>
      <c r="M6" s="132">
        <v>418.17976902999987</v>
      </c>
      <c r="N6" s="132">
        <v>374.5923289499998</v>
      </c>
      <c r="O6" s="132">
        <v>467.96630860000016</v>
      </c>
      <c r="P6" s="132">
        <v>81.719677846024155</v>
      </c>
      <c r="Q6" s="132">
        <f>O6-P6</f>
        <v>386.24663075397598</v>
      </c>
      <c r="R6" s="132">
        <v>498.32923849999986</v>
      </c>
      <c r="S6" s="132">
        <v>85.235109588328328</v>
      </c>
      <c r="T6" s="132">
        <f>R6-S6</f>
        <v>413.09412891167153</v>
      </c>
      <c r="U6" s="132">
        <v>524.97394345999999</v>
      </c>
      <c r="V6" s="132">
        <v>85.804654337984715</v>
      </c>
      <c r="W6" s="132">
        <f>U6-V6</f>
        <v>439.16928912201524</v>
      </c>
      <c r="X6" s="132">
        <v>465.9784206600001</v>
      </c>
      <c r="Y6" s="132">
        <v>81.817695962215467</v>
      </c>
      <c r="Z6" s="132">
        <f>X6-Y6</f>
        <v>384.16072469778464</v>
      </c>
      <c r="AA6" s="132">
        <v>427.46028360000003</v>
      </c>
      <c r="AB6" s="132">
        <v>356.62176704000007</v>
      </c>
      <c r="AC6" s="132">
        <v>376.64081706999997</v>
      </c>
      <c r="AD6" s="132">
        <v>343.02959127000003</v>
      </c>
      <c r="AE6" s="132">
        <v>360.89523333000005</v>
      </c>
      <c r="AF6" s="137">
        <f>SUM(C6:F6)</f>
        <v>1573.8128049100003</v>
      </c>
      <c r="AG6" s="132">
        <f>SUM(G6:J6)</f>
        <v>1789.4895460800003</v>
      </c>
      <c r="AH6" s="132">
        <f>SUM(K6:N6)</f>
        <v>1677.2134231599994</v>
      </c>
      <c r="AI6" s="132">
        <f>SUM(O6,R6,U6,X6)</f>
        <v>1957.2479112200003</v>
      </c>
      <c r="AJ6" s="132">
        <f>SUM(P6,S6,V6,Y6)</f>
        <v>334.57713773455265</v>
      </c>
      <c r="AK6" s="132">
        <f>AI6-AJ6</f>
        <v>1622.6707734854476</v>
      </c>
      <c r="AL6" s="132">
        <f>SUM(AA6:AD6)</f>
        <v>1503.75245898</v>
      </c>
      <c r="AM6" s="139"/>
    </row>
    <row r="7" spans="2:39" x14ac:dyDescent="0.25">
      <c r="B7" s="135" t="s">
        <v>100</v>
      </c>
      <c r="C7" s="143">
        <v>0.3703054782408865</v>
      </c>
      <c r="D7" s="143">
        <v>0.41060107352439668</v>
      </c>
      <c r="E7" s="143">
        <v>0.37874087383532595</v>
      </c>
      <c r="F7" s="143">
        <v>0.37655599035600174</v>
      </c>
      <c r="G7" s="143">
        <f t="shared" ref="G7:R7" si="0">G6/G5</f>
        <v>0.37298292558409279</v>
      </c>
      <c r="H7" s="143">
        <f t="shared" si="0"/>
        <v>0.39359025579448226</v>
      </c>
      <c r="I7" s="143">
        <f t="shared" si="0"/>
        <v>0.39013816194106438</v>
      </c>
      <c r="J7" s="143">
        <f t="shared" si="0"/>
        <v>0.35662840553445457</v>
      </c>
      <c r="K7" s="143">
        <f t="shared" si="0"/>
        <v>0.37987867443286916</v>
      </c>
      <c r="L7" s="143">
        <f t="shared" si="0"/>
        <v>0.37600328734819966</v>
      </c>
      <c r="M7" s="143">
        <f t="shared" si="0"/>
        <v>0.35672484632309037</v>
      </c>
      <c r="N7" s="143">
        <f t="shared" si="0"/>
        <v>0.32814771493076633</v>
      </c>
      <c r="O7" s="143">
        <f t="shared" si="0"/>
        <v>0.44664589849375314</v>
      </c>
      <c r="P7" s="143"/>
      <c r="Q7" s="143">
        <f t="shared" si="0"/>
        <v>0.36864934561080587</v>
      </c>
      <c r="R7" s="143">
        <f t="shared" si="0"/>
        <v>0.44337419513602183</v>
      </c>
      <c r="S7" s="143"/>
      <c r="T7" s="143">
        <f t="shared" ref="T7:U7" si="1">T6/T5</f>
        <v>0.36753869283876761</v>
      </c>
      <c r="U7" s="143">
        <f t="shared" si="1"/>
        <v>0.45366136998644008</v>
      </c>
      <c r="V7" s="143"/>
      <c r="W7" s="143">
        <f t="shared" ref="W7:X7" si="2">W6/W5</f>
        <v>0.37951243836208592</v>
      </c>
      <c r="X7" s="143">
        <f t="shared" si="2"/>
        <v>0.4045792045669418</v>
      </c>
      <c r="Y7" s="143"/>
      <c r="Z7" s="143">
        <f t="shared" ref="Z7:AE7" si="3">Z6/Z5</f>
        <v>0.33354214172397034</v>
      </c>
      <c r="AA7" s="143">
        <f t="shared" si="3"/>
        <v>0.41888689919509853</v>
      </c>
      <c r="AB7" s="143">
        <f t="shared" si="3"/>
        <v>0.39324625971459259</v>
      </c>
      <c r="AC7" s="143">
        <f t="shared" si="3"/>
        <v>0.39797051406427258</v>
      </c>
      <c r="AD7" s="143">
        <f t="shared" si="3"/>
        <v>0.36299807425807462</v>
      </c>
      <c r="AE7" s="143">
        <f t="shared" si="3"/>
        <v>0.39223719015331748</v>
      </c>
      <c r="AF7" s="144">
        <f>AF6/AF5</f>
        <v>0.38416814952360789</v>
      </c>
      <c r="AG7" s="143">
        <f>AG6/AG5</f>
        <v>0.37848833476059252</v>
      </c>
      <c r="AH7" s="143">
        <f>AH6/AH5</f>
        <v>0.36038062910143787</v>
      </c>
      <c r="AI7" s="143">
        <f>AI6/AI5</f>
        <v>0.43682369241783642</v>
      </c>
      <c r="AJ7" s="143"/>
      <c r="AK7" s="143">
        <f t="shared" ref="AK7" si="4">AK6/AK5</f>
        <v>0.36215189439675755</v>
      </c>
      <c r="AL7" s="143">
        <f>AL6/AL5</f>
        <v>0.3937836754828406</v>
      </c>
    </row>
    <row r="8" spans="2:39" x14ac:dyDescent="0.25">
      <c r="B8" s="135" t="s">
        <v>81</v>
      </c>
      <c r="C8" s="132">
        <v>48.350445588784012</v>
      </c>
      <c r="D8" s="132">
        <v>114.81446538624145</v>
      </c>
      <c r="E8" s="132">
        <v>149.22425851408428</v>
      </c>
      <c r="F8" s="132">
        <v>349.65838334575591</v>
      </c>
      <c r="G8" s="132">
        <v>116.75646934400571</v>
      </c>
      <c r="H8" s="132">
        <v>141.31605962271593</v>
      </c>
      <c r="I8" s="132">
        <v>190.51922005750697</v>
      </c>
      <c r="J8" s="132">
        <v>236.88780622582328</v>
      </c>
      <c r="K8" s="132">
        <v>162.19292054381185</v>
      </c>
      <c r="L8" s="132">
        <v>219.99687280283291</v>
      </c>
      <c r="M8" s="132">
        <v>194.31981212589628</v>
      </c>
      <c r="N8" s="132">
        <v>194.0227412512464</v>
      </c>
      <c r="O8" s="132">
        <v>268.16240319583488</v>
      </c>
      <c r="P8" s="132">
        <v>37.355481534325612</v>
      </c>
      <c r="Q8" s="132">
        <f>O8-P8</f>
        <v>230.80692166150928</v>
      </c>
      <c r="R8" s="132">
        <v>309.04212140802713</v>
      </c>
      <c r="S8" s="132">
        <v>67.715810824168287</v>
      </c>
      <c r="T8" s="132">
        <f>R8-S8</f>
        <v>241.32631058385886</v>
      </c>
      <c r="U8" s="132">
        <v>229.4582167644856</v>
      </c>
      <c r="V8" s="132">
        <v>56.945811137529404</v>
      </c>
      <c r="W8" s="132">
        <f>U8-V8</f>
        <v>172.51240562695619</v>
      </c>
      <c r="X8" s="132">
        <v>407.5948302244675</v>
      </c>
      <c r="Y8" s="132">
        <v>56.78419667123579</v>
      </c>
      <c r="Z8" s="132">
        <f>X8-Y8</f>
        <v>350.8106335532317</v>
      </c>
      <c r="AA8" s="132">
        <v>188.05000584908467</v>
      </c>
      <c r="AB8" s="132">
        <v>274.41865068117067</v>
      </c>
      <c r="AC8" s="132">
        <v>277.89132195859514</v>
      </c>
      <c r="AD8" s="132">
        <v>624.45398954435063</v>
      </c>
      <c r="AE8" s="132">
        <v>293.2115003381773</v>
      </c>
      <c r="AF8" s="137">
        <f>SUM(C8:F8)</f>
        <v>662.04755283486566</v>
      </c>
      <c r="AG8" s="132">
        <f>SUM(G8:J8)</f>
        <v>685.47955525005182</v>
      </c>
      <c r="AH8" s="132">
        <f>SUM(K8:N8)</f>
        <v>770.53234672378744</v>
      </c>
      <c r="AI8" s="132">
        <f>SUM(O8,R8,U8,X8)</f>
        <v>1214.2575715928151</v>
      </c>
      <c r="AJ8" s="132">
        <f>SUM(P8,S8,V8,Y8)</f>
        <v>218.80130016725911</v>
      </c>
      <c r="AK8" s="132">
        <f>AI8-AJ8</f>
        <v>995.456271425556</v>
      </c>
      <c r="AL8" s="132">
        <f>SUM(AA8:AD8)</f>
        <v>1364.813968033201</v>
      </c>
      <c r="AM8" s="139"/>
    </row>
    <row r="9" spans="2:39" x14ac:dyDescent="0.25">
      <c r="B9" s="135" t="s">
        <v>82</v>
      </c>
      <c r="C9" s="132">
        <v>43.220362139637174</v>
      </c>
      <c r="D9" s="132">
        <v>109.2829519923412</v>
      </c>
      <c r="E9" s="132">
        <v>146.01761125067222</v>
      </c>
      <c r="F9" s="132">
        <v>344.52955665420507</v>
      </c>
      <c r="G9" s="132">
        <v>114.36364718356624</v>
      </c>
      <c r="H9" s="132">
        <v>137.72768035116667</v>
      </c>
      <c r="I9" s="132">
        <v>184.95997685587116</v>
      </c>
      <c r="J9" s="132">
        <v>229.83823868738074</v>
      </c>
      <c r="K9" s="132">
        <v>158.23885411761287</v>
      </c>
      <c r="L9" s="132">
        <v>215.05965149994501</v>
      </c>
      <c r="M9" s="132">
        <v>188.48310913318335</v>
      </c>
      <c r="N9" s="132">
        <v>179.87793979865137</v>
      </c>
      <c r="O9" s="132">
        <v>264.03518835104609</v>
      </c>
      <c r="P9" s="132">
        <f>P8</f>
        <v>37.355481534325612</v>
      </c>
      <c r="Q9" s="132">
        <f>O9-P9</f>
        <v>226.67970681672048</v>
      </c>
      <c r="R9" s="132">
        <v>302.59800032073963</v>
      </c>
      <c r="S9" s="132">
        <f>S8</f>
        <v>67.715810824168287</v>
      </c>
      <c r="T9" s="132">
        <f>R9-S9</f>
        <v>234.88218949657136</v>
      </c>
      <c r="U9" s="132">
        <v>226.73879763319181</v>
      </c>
      <c r="V9" s="132">
        <f>V8</f>
        <v>56.945811137529404</v>
      </c>
      <c r="W9" s="132">
        <f>U9-V9</f>
        <v>169.7929864956624</v>
      </c>
      <c r="X9" s="132">
        <v>400.97633815557293</v>
      </c>
      <c r="Y9" s="132">
        <f>Y8</f>
        <v>56.78419667123579</v>
      </c>
      <c r="Z9" s="132">
        <f>X9-Y9</f>
        <v>344.19214148433713</v>
      </c>
      <c r="AA9" s="132">
        <v>183.38805157271972</v>
      </c>
      <c r="AB9" s="132">
        <v>269.87024766319723</v>
      </c>
      <c r="AC9" s="132">
        <v>272.87908357773011</v>
      </c>
      <c r="AD9" s="132">
        <v>621.17586248119255</v>
      </c>
      <c r="AE9" s="132">
        <v>290.02597267994918</v>
      </c>
      <c r="AF9" s="137">
        <f>SUM(C9:F9)</f>
        <v>643.05048203685567</v>
      </c>
      <c r="AG9" s="132">
        <f>SUM(G9:J9)</f>
        <v>666.88954307798485</v>
      </c>
      <c r="AH9" s="132">
        <f>SUM(K9:N9)</f>
        <v>741.65955454939262</v>
      </c>
      <c r="AI9" s="132">
        <f>SUM(O9,R9,U9,X9)</f>
        <v>1194.3483244605504</v>
      </c>
      <c r="AJ9" s="132">
        <f>AJ8</f>
        <v>218.80130016725911</v>
      </c>
      <c r="AK9" s="132">
        <f>AI9-AJ9</f>
        <v>975.54702429329132</v>
      </c>
      <c r="AL9" s="132">
        <f>SUM(AA9:AD9)</f>
        <v>1347.3132452948396</v>
      </c>
      <c r="AM9" s="350"/>
    </row>
    <row r="10" spans="2:39" x14ac:dyDescent="0.25">
      <c r="B10" s="135" t="s">
        <v>101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>
        <v>171.02666238558299</v>
      </c>
      <c r="AB10" s="132">
        <v>253.3184485468874</v>
      </c>
      <c r="AC10" s="132">
        <v>221.76278536431465</v>
      </c>
      <c r="AD10" s="132">
        <v>388.80554779935665</v>
      </c>
      <c r="AE10" s="132">
        <v>202.06246470601047</v>
      </c>
      <c r="AF10" s="137"/>
      <c r="AG10" s="132"/>
      <c r="AH10" s="132"/>
      <c r="AI10" s="132"/>
      <c r="AJ10" s="132"/>
      <c r="AK10" s="132"/>
      <c r="AL10" s="140">
        <f>SUM(AA10:AD10)</f>
        <v>1034.9134440961416</v>
      </c>
      <c r="AM10" s="146"/>
    </row>
    <row r="11" spans="2:39" ht="13.5" x14ac:dyDescent="0.25">
      <c r="B11" s="135" t="s">
        <v>156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>
        <v>166.36470810921807</v>
      </c>
      <c r="AB11" s="132">
        <v>248.77004552891393</v>
      </c>
      <c r="AC11" s="132">
        <v>216.75054698344957</v>
      </c>
      <c r="AD11" s="132">
        <v>385.52742073619856</v>
      </c>
      <c r="AE11" s="132">
        <v>198.87693704778223</v>
      </c>
      <c r="AF11" s="137"/>
      <c r="AG11" s="132"/>
      <c r="AH11" s="132"/>
      <c r="AI11" s="132"/>
      <c r="AJ11" s="132"/>
      <c r="AK11" s="132"/>
      <c r="AL11" s="140">
        <f>SUM(AA11:AD11)</f>
        <v>1017.4127213577801</v>
      </c>
      <c r="AM11" s="350"/>
    </row>
    <row r="12" spans="2:39" x14ac:dyDescent="0.25">
      <c r="B12" s="135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7"/>
      <c r="AG12" s="132"/>
      <c r="AH12" s="132"/>
      <c r="AI12" s="132"/>
      <c r="AJ12" s="132"/>
      <c r="AK12" s="132"/>
      <c r="AL12" s="132"/>
    </row>
    <row r="13" spans="2:39" s="82" customFormat="1" ht="12" thickBot="1" x14ac:dyDescent="0.3">
      <c r="B13" s="147" t="s">
        <v>102</v>
      </c>
      <c r="C13" s="148" t="s">
        <v>92</v>
      </c>
      <c r="D13" s="148" t="s">
        <v>93</v>
      </c>
      <c r="E13" s="148" t="s">
        <v>44</v>
      </c>
      <c r="F13" s="148" t="s">
        <v>45</v>
      </c>
      <c r="G13" s="148" t="s">
        <v>46</v>
      </c>
      <c r="H13" s="148" t="s">
        <v>47</v>
      </c>
      <c r="I13" s="148" t="s">
        <v>48</v>
      </c>
      <c r="J13" s="148" t="s">
        <v>49</v>
      </c>
      <c r="K13" s="148" t="s">
        <v>50</v>
      </c>
      <c r="L13" s="148" t="s">
        <v>51</v>
      </c>
      <c r="M13" s="148" t="s">
        <v>52</v>
      </c>
      <c r="N13" s="148" t="s">
        <v>53</v>
      </c>
      <c r="O13" s="148" t="s">
        <v>54</v>
      </c>
      <c r="P13" s="148" t="s">
        <v>55</v>
      </c>
      <c r="Q13" s="148" t="s">
        <v>54</v>
      </c>
      <c r="R13" s="148" t="s">
        <v>57</v>
      </c>
      <c r="S13" s="148" t="s">
        <v>55</v>
      </c>
      <c r="T13" s="148" t="s">
        <v>57</v>
      </c>
      <c r="U13" s="148" t="s">
        <v>59</v>
      </c>
      <c r="V13" s="148" t="s">
        <v>55</v>
      </c>
      <c r="W13" s="148" t="s">
        <v>59</v>
      </c>
      <c r="X13" s="148" t="s">
        <v>61</v>
      </c>
      <c r="Y13" s="148" t="s">
        <v>55</v>
      </c>
      <c r="Z13" s="148" t="s">
        <v>61</v>
      </c>
      <c r="AA13" s="149" t="s">
        <v>7</v>
      </c>
      <c r="AB13" s="149" t="s">
        <v>63</v>
      </c>
      <c r="AC13" s="149" t="s">
        <v>64</v>
      </c>
      <c r="AD13" s="149" t="s">
        <v>65</v>
      </c>
      <c r="AE13" s="149" t="s">
        <v>6</v>
      </c>
      <c r="AF13" s="150" t="s">
        <v>94</v>
      </c>
      <c r="AG13" s="148" t="s">
        <v>67</v>
      </c>
      <c r="AH13" s="148" t="s">
        <v>68</v>
      </c>
      <c r="AI13" s="148" t="s">
        <v>69</v>
      </c>
      <c r="AJ13" s="148" t="s">
        <v>103</v>
      </c>
      <c r="AK13" s="148" t="s">
        <v>69</v>
      </c>
      <c r="AL13" s="148" t="s">
        <v>71</v>
      </c>
    </row>
    <row r="14" spans="2:39" x14ac:dyDescent="0.25">
      <c r="B14" s="135" t="s">
        <v>104</v>
      </c>
      <c r="C14" s="132">
        <v>732.51557264000007</v>
      </c>
      <c r="D14" s="132">
        <v>843.11425042999997</v>
      </c>
      <c r="E14" s="132">
        <v>913.63414487</v>
      </c>
      <c r="F14" s="132">
        <v>940.25766953000016</v>
      </c>
      <c r="G14" s="132">
        <v>932.10151787999996</v>
      </c>
      <c r="H14" s="132">
        <v>1023.40664624</v>
      </c>
      <c r="I14" s="132">
        <v>1057.83024583</v>
      </c>
      <c r="J14" s="132">
        <v>1040.4442737699999</v>
      </c>
      <c r="K14" s="132">
        <v>1010.02251414</v>
      </c>
      <c r="L14" s="132">
        <v>1028.5615007500001</v>
      </c>
      <c r="M14" s="132">
        <v>1038.2605524800001</v>
      </c>
      <c r="N14" s="132">
        <v>1007.79697486</v>
      </c>
      <c r="O14" s="132">
        <v>918.52686205999998</v>
      </c>
      <c r="P14" s="132"/>
      <c r="Q14" s="132">
        <f>O14</f>
        <v>918.52686205999998</v>
      </c>
      <c r="R14" s="132">
        <v>992.1782543700001</v>
      </c>
      <c r="S14" s="132"/>
      <c r="T14" s="152">
        <f>R14</f>
        <v>992.1782543700001</v>
      </c>
      <c r="U14" s="132">
        <v>1020.2092553399999</v>
      </c>
      <c r="V14" s="132"/>
      <c r="W14" s="132">
        <f>U14</f>
        <v>1020.2092553399999</v>
      </c>
      <c r="X14" s="132">
        <v>1006.3381304000001</v>
      </c>
      <c r="Y14" s="132"/>
      <c r="Z14" s="132">
        <f>X14</f>
        <v>1006.3381304000001</v>
      </c>
      <c r="AA14" s="132">
        <v>880.20296426000016</v>
      </c>
      <c r="AB14" s="132">
        <v>778.37942791000012</v>
      </c>
      <c r="AC14" s="132">
        <v>815.07882059999997</v>
      </c>
      <c r="AD14" s="132">
        <v>811.51683317999982</v>
      </c>
      <c r="AE14" s="132">
        <v>784.87496097000007</v>
      </c>
      <c r="AF14" s="137">
        <f>SUM(C14:F14)</f>
        <v>3429.5216374700003</v>
      </c>
      <c r="AG14" s="132">
        <f>SUM(G14:J14)</f>
        <v>4053.78268372</v>
      </c>
      <c r="AH14" s="132">
        <f>SUM(K14:N14)</f>
        <v>4084.6415422300001</v>
      </c>
      <c r="AI14" s="132">
        <f>SUM(O14,R14,U14,X14)</f>
        <v>3937.2525021699998</v>
      </c>
      <c r="AJ14" s="132"/>
      <c r="AK14" s="132">
        <f>AI14</f>
        <v>3937.2525021699998</v>
      </c>
      <c r="AL14" s="132">
        <f>SUM(AA14:AD14)</f>
        <v>3285.1780459499996</v>
      </c>
      <c r="AM14" s="139"/>
    </row>
    <row r="15" spans="2:39" x14ac:dyDescent="0.25">
      <c r="B15" s="135" t="s">
        <v>105</v>
      </c>
      <c r="C15" s="132">
        <v>695.74404365000009</v>
      </c>
      <c r="D15" s="132">
        <v>815.71221650000007</v>
      </c>
      <c r="E15" s="132">
        <v>878.66489081999998</v>
      </c>
      <c r="F15" s="132">
        <v>885.73605054000018</v>
      </c>
      <c r="G15" s="132">
        <v>890.04737690000002</v>
      </c>
      <c r="H15" s="132">
        <v>974.13794998999992</v>
      </c>
      <c r="I15" s="132">
        <v>1002.6906832100001</v>
      </c>
      <c r="J15" s="132">
        <v>975.96499367000013</v>
      </c>
      <c r="K15" s="132">
        <v>954.31349389000002</v>
      </c>
      <c r="L15" s="132">
        <v>932.21550128999991</v>
      </c>
      <c r="M15" s="132">
        <v>908.32741972999997</v>
      </c>
      <c r="N15" s="132">
        <v>883.93869857999994</v>
      </c>
      <c r="O15" s="132">
        <v>831.05461939999986</v>
      </c>
      <c r="P15" s="132"/>
      <c r="Q15" s="132">
        <f t="shared" ref="Q15:Q22" si="5">O15</f>
        <v>831.05461939999986</v>
      </c>
      <c r="R15" s="132">
        <v>882.84456055999999</v>
      </c>
      <c r="S15" s="132"/>
      <c r="T15" s="132">
        <f t="shared" ref="T15:T20" si="6">R15</f>
        <v>882.84456055999999</v>
      </c>
      <c r="U15" s="132">
        <v>903.4942338699999</v>
      </c>
      <c r="V15" s="132"/>
      <c r="W15" s="132">
        <f t="shared" ref="W15:W20" si="7">U15</f>
        <v>903.4942338699999</v>
      </c>
      <c r="X15" s="132">
        <v>868.03707779000024</v>
      </c>
      <c r="Y15" s="132"/>
      <c r="Z15" s="132">
        <f t="shared" ref="Z15:Z20" si="8">X15</f>
        <v>868.03707779000024</v>
      </c>
      <c r="AA15" s="132">
        <v>794.78436281000006</v>
      </c>
      <c r="AB15" s="132">
        <v>711.43014667000011</v>
      </c>
      <c r="AC15" s="132">
        <v>713.29198407000001</v>
      </c>
      <c r="AD15" s="132">
        <v>697.52862218999985</v>
      </c>
      <c r="AE15" s="132">
        <v>690.04904318000001</v>
      </c>
      <c r="AF15" s="137">
        <f>SUM(C15:F15)</f>
        <v>3275.8572015100003</v>
      </c>
      <c r="AG15" s="132">
        <f>SUM(G15:J15)</f>
        <v>3842.84100377</v>
      </c>
      <c r="AH15" s="132">
        <f>SUM(K15:N15)</f>
        <v>3678.7951134900004</v>
      </c>
      <c r="AI15" s="132">
        <f>SUM(O15,R15,U15,X15)</f>
        <v>3485.4304916199999</v>
      </c>
      <c r="AJ15" s="132"/>
      <c r="AK15" s="132">
        <f t="shared" ref="AK15:AK18" si="9">AI15</f>
        <v>3485.4304916199999</v>
      </c>
      <c r="AL15" s="132">
        <f>SUM(AA15:AD15)</f>
        <v>2917.03511574</v>
      </c>
      <c r="AM15" s="139"/>
    </row>
    <row r="16" spans="2:39" ht="12.75" customHeight="1" x14ac:dyDescent="0.25">
      <c r="B16" s="153" t="s">
        <v>106</v>
      </c>
      <c r="C16" s="132">
        <v>160.28912155</v>
      </c>
      <c r="D16" s="132">
        <v>186.98339696000002</v>
      </c>
      <c r="E16" s="132">
        <v>207.74449071000001</v>
      </c>
      <c r="F16" s="132">
        <v>223.41619705000002</v>
      </c>
      <c r="G16" s="132">
        <v>236.36214657999997</v>
      </c>
      <c r="H16" s="132">
        <v>253.90610143000001</v>
      </c>
      <c r="I16" s="132">
        <v>259.05433658999999</v>
      </c>
      <c r="J16" s="132">
        <v>262.70890450999997</v>
      </c>
      <c r="K16" s="132">
        <v>266.14245282000002</v>
      </c>
      <c r="L16" s="132">
        <v>249.50587214999999</v>
      </c>
      <c r="M16" s="132">
        <v>240.48957053000001</v>
      </c>
      <c r="N16" s="132">
        <v>240.02496778000003</v>
      </c>
      <c r="O16" s="132">
        <v>227.20500619000001</v>
      </c>
      <c r="P16" s="132"/>
      <c r="Q16" s="132">
        <f t="shared" si="5"/>
        <v>227.20500619000001</v>
      </c>
      <c r="R16" s="132">
        <v>239.33406248000003</v>
      </c>
      <c r="S16" s="132"/>
      <c r="T16" s="132">
        <f t="shared" si="6"/>
        <v>239.33406248000003</v>
      </c>
      <c r="U16" s="132">
        <v>251.27640003000002</v>
      </c>
      <c r="V16" s="132"/>
      <c r="W16" s="132">
        <f t="shared" si="7"/>
        <v>251.27640003000002</v>
      </c>
      <c r="X16" s="132">
        <v>254.31138081</v>
      </c>
      <c r="Y16" s="132"/>
      <c r="Z16" s="132">
        <f t="shared" si="8"/>
        <v>254.31138081</v>
      </c>
      <c r="AA16" s="132">
        <v>246.76975479999999</v>
      </c>
      <c r="AB16" s="132">
        <v>224.18885224000002</v>
      </c>
      <c r="AC16" s="132">
        <v>224.74461098000003</v>
      </c>
      <c r="AD16" s="132">
        <v>223.67189952999996</v>
      </c>
      <c r="AE16" s="132">
        <v>225.02952074999999</v>
      </c>
      <c r="AF16" s="137">
        <f>SUM(C16:F16)</f>
        <v>778.43320627000014</v>
      </c>
      <c r="AG16" s="132">
        <f>SUM(G16:J16)</f>
        <v>1012.0314891099999</v>
      </c>
      <c r="AH16" s="132">
        <f>SUM(K16:N16)</f>
        <v>996.16286328000001</v>
      </c>
      <c r="AI16" s="132">
        <f>SUM(O16,R16,U16,X16)</f>
        <v>972.12684951000006</v>
      </c>
      <c r="AJ16" s="132"/>
      <c r="AK16" s="132">
        <f t="shared" si="9"/>
        <v>972.12684951000006</v>
      </c>
      <c r="AL16" s="132">
        <f>SUM(AA16:AD16)</f>
        <v>919.37511754999991</v>
      </c>
      <c r="AM16" s="139"/>
    </row>
    <row r="17" spans="2:39" x14ac:dyDescent="0.25">
      <c r="B17" s="135" t="s">
        <v>107</v>
      </c>
      <c r="C17" s="154">
        <v>57.664841000000003</v>
      </c>
      <c r="D17" s="154">
        <v>57.545664000000002</v>
      </c>
      <c r="E17" s="154">
        <v>58.440784000000001</v>
      </c>
      <c r="F17" s="154">
        <v>58.307886000000003</v>
      </c>
      <c r="G17" s="154">
        <v>56.968744000000001</v>
      </c>
      <c r="H17" s="154">
        <v>58.324680000000001</v>
      </c>
      <c r="I17" s="154">
        <v>58.845224999999999</v>
      </c>
      <c r="J17" s="154">
        <v>58.160443999999998</v>
      </c>
      <c r="K17" s="154">
        <v>56.269533000000003</v>
      </c>
      <c r="L17" s="154">
        <v>56.428289999999997</v>
      </c>
      <c r="M17" s="154">
        <v>56.208658</v>
      </c>
      <c r="N17" s="154">
        <v>55.252583999999999</v>
      </c>
      <c r="O17" s="154">
        <v>54.229596999999998</v>
      </c>
      <c r="P17" s="154"/>
      <c r="Q17" s="132">
        <f t="shared" si="5"/>
        <v>54.229596999999998</v>
      </c>
      <c r="R17" s="154">
        <v>54.332397</v>
      </c>
      <c r="S17" s="154"/>
      <c r="T17" s="132">
        <f t="shared" si="6"/>
        <v>54.332397</v>
      </c>
      <c r="U17" s="154">
        <v>54.782978999999997</v>
      </c>
      <c r="V17" s="154"/>
      <c r="W17" s="132">
        <f t="shared" si="7"/>
        <v>54.782978999999997</v>
      </c>
      <c r="X17" s="154">
        <v>54.648950999999997</v>
      </c>
      <c r="Y17" s="154"/>
      <c r="Z17" s="132">
        <f t="shared" si="8"/>
        <v>54.648950999999997</v>
      </c>
      <c r="AA17" s="154">
        <v>53.487031000000002</v>
      </c>
      <c r="AB17" s="154">
        <v>49.774312999999999</v>
      </c>
      <c r="AC17" s="154">
        <v>49.721111999999998</v>
      </c>
      <c r="AD17" s="154">
        <v>49.878476999999997</v>
      </c>
      <c r="AE17" s="154">
        <v>50.046802</v>
      </c>
      <c r="AF17" s="155">
        <f>F17</f>
        <v>58.307886000000003</v>
      </c>
      <c r="AG17" s="154">
        <f>J17</f>
        <v>58.160443999999998</v>
      </c>
      <c r="AH17" s="154">
        <f>N17</f>
        <v>55.252583999999999</v>
      </c>
      <c r="AI17" s="154">
        <f>X17</f>
        <v>54.648950999999997</v>
      </c>
      <c r="AJ17" s="154"/>
      <c r="AK17" s="154">
        <f t="shared" si="9"/>
        <v>54.648950999999997</v>
      </c>
      <c r="AL17" s="154">
        <f>AD17</f>
        <v>49.878476999999997</v>
      </c>
    </row>
    <row r="18" spans="2:39" x14ac:dyDescent="0.25">
      <c r="B18" s="153" t="s">
        <v>108</v>
      </c>
      <c r="C18" s="154">
        <v>32.550941999999999</v>
      </c>
      <c r="D18" s="154">
        <v>33.747695</v>
      </c>
      <c r="E18" s="154">
        <v>36.156475</v>
      </c>
      <c r="F18" s="154">
        <v>36.608094999999999</v>
      </c>
      <c r="G18" s="154">
        <v>36.406694000000002</v>
      </c>
      <c r="H18" s="154">
        <v>38.115071999999998</v>
      </c>
      <c r="I18" s="154">
        <v>39.054777000000001</v>
      </c>
      <c r="J18" s="154">
        <v>38.424190000000003</v>
      </c>
      <c r="K18" s="154">
        <v>36.672454000000002</v>
      </c>
      <c r="L18" s="154">
        <v>36.599527999999999</v>
      </c>
      <c r="M18" s="154">
        <v>37.29712</v>
      </c>
      <c r="N18" s="154">
        <v>36.807291999999997</v>
      </c>
      <c r="O18" s="154">
        <v>35.125919000000003</v>
      </c>
      <c r="P18" s="154"/>
      <c r="Q18" s="132">
        <f t="shared" si="5"/>
        <v>35.125919000000003</v>
      </c>
      <c r="R18" s="154">
        <v>35.770471000000001</v>
      </c>
      <c r="S18" s="154"/>
      <c r="T18" s="132">
        <f t="shared" si="6"/>
        <v>35.770471000000001</v>
      </c>
      <c r="U18" s="154">
        <v>36.382024999999999</v>
      </c>
      <c r="V18" s="154"/>
      <c r="W18" s="132">
        <f t="shared" si="7"/>
        <v>36.382024999999999</v>
      </c>
      <c r="X18" s="154">
        <v>35.542335000000001</v>
      </c>
      <c r="Y18" s="154"/>
      <c r="Z18" s="132">
        <f t="shared" si="8"/>
        <v>35.542335000000001</v>
      </c>
      <c r="AA18" s="154">
        <v>34.363270999999997</v>
      </c>
      <c r="AB18" s="154">
        <v>31.547588999999999</v>
      </c>
      <c r="AC18" s="154">
        <v>32.373823000000002</v>
      </c>
      <c r="AD18" s="154">
        <v>32.911541999999997</v>
      </c>
      <c r="AE18" s="154">
        <v>33.468316000000002</v>
      </c>
      <c r="AF18" s="155">
        <f>F18</f>
        <v>36.608094999999999</v>
      </c>
      <c r="AG18" s="154">
        <f>J18</f>
        <v>38.424190000000003</v>
      </c>
      <c r="AH18" s="154">
        <f>N18</f>
        <v>36.807291999999997</v>
      </c>
      <c r="AI18" s="154">
        <f>X18</f>
        <v>35.542335000000001</v>
      </c>
      <c r="AJ18" s="154"/>
      <c r="AK18" s="154">
        <f t="shared" si="9"/>
        <v>35.542335000000001</v>
      </c>
      <c r="AL18" s="154">
        <f>AD18</f>
        <v>32.911541999999997</v>
      </c>
    </row>
    <row r="19" spans="2:39" x14ac:dyDescent="0.25">
      <c r="B19" s="135" t="s">
        <v>109</v>
      </c>
      <c r="C19" s="154">
        <v>3.9265869114562721</v>
      </c>
      <c r="D19" s="154">
        <v>4.6880727570806151</v>
      </c>
      <c r="E19" s="154">
        <v>5.0145594502557742</v>
      </c>
      <c r="F19" s="154">
        <v>5.031626096297285</v>
      </c>
      <c r="G19" s="154">
        <v>5.1321673458589707</v>
      </c>
      <c r="H19" s="154">
        <v>5.5991433818463063</v>
      </c>
      <c r="I19" s="154">
        <v>5.6666465353311786</v>
      </c>
      <c r="J19" s="154">
        <v>5.5394198797324927</v>
      </c>
      <c r="K19" s="154">
        <v>5.5394779435578618</v>
      </c>
      <c r="L19" s="154">
        <v>5.4699438906937301</v>
      </c>
      <c r="M19" s="154">
        <v>5.3473275939614426</v>
      </c>
      <c r="N19" s="154">
        <v>5.2632333025680795</v>
      </c>
      <c r="O19" s="154">
        <v>5.0369346507020474</v>
      </c>
      <c r="P19" s="154"/>
      <c r="Q19" s="132">
        <f t="shared" si="5"/>
        <v>5.0369346507020474</v>
      </c>
      <c r="R19" s="154">
        <v>5.3861967878003414</v>
      </c>
      <c r="S19" s="154"/>
      <c r="T19" s="132">
        <f t="shared" si="6"/>
        <v>5.3861967878003414</v>
      </c>
      <c r="U19" s="154">
        <v>5.4743495128190434</v>
      </c>
      <c r="V19" s="154"/>
      <c r="W19" s="132">
        <f t="shared" si="7"/>
        <v>5.4743495128190434</v>
      </c>
      <c r="X19" s="154">
        <v>5.2620476967432337</v>
      </c>
      <c r="Y19" s="154"/>
      <c r="Z19" s="132">
        <f t="shared" si="8"/>
        <v>5.2620476967432337</v>
      </c>
      <c r="AA19" s="154">
        <v>4.8905086257042543</v>
      </c>
      <c r="AB19" s="154">
        <v>4.5888387403389475</v>
      </c>
      <c r="AC19" s="154">
        <v>4.7657538579286429</v>
      </c>
      <c r="AD19" s="154">
        <v>4.6342932694230283</v>
      </c>
      <c r="AE19" s="154">
        <v>4.5782133489297872</v>
      </c>
      <c r="AF19" s="155" t="s">
        <v>110</v>
      </c>
      <c r="AG19" s="154" t="s">
        <v>110</v>
      </c>
      <c r="AH19" s="154" t="s">
        <v>110</v>
      </c>
      <c r="AI19" s="154" t="s">
        <v>110</v>
      </c>
      <c r="AJ19" s="154"/>
      <c r="AK19" s="154" t="s">
        <v>110</v>
      </c>
      <c r="AL19" s="154" t="s">
        <v>110</v>
      </c>
    </row>
    <row r="20" spans="2:39" x14ac:dyDescent="0.25">
      <c r="B20" s="135" t="s">
        <v>111</v>
      </c>
      <c r="C20" s="132">
        <v>314.81847618798759</v>
      </c>
      <c r="D20" s="132">
        <v>337.05062232596407</v>
      </c>
      <c r="E20" s="132">
        <v>336.32242061400802</v>
      </c>
      <c r="F20" s="132">
        <v>334.96836614717938</v>
      </c>
      <c r="G20" s="132">
        <v>323.75132505395737</v>
      </c>
      <c r="H20" s="157">
        <v>337.70977385247124</v>
      </c>
      <c r="I20" s="157">
        <v>325.32124606898742</v>
      </c>
      <c r="J20" s="157">
        <v>322.88387568363316</v>
      </c>
      <c r="K20" s="157">
        <v>307.19828189596291</v>
      </c>
      <c r="L20" s="157">
        <v>323.43336611205581</v>
      </c>
      <c r="M20" s="157">
        <v>315.12170270768098</v>
      </c>
      <c r="N20" s="157">
        <v>317.00056928378774</v>
      </c>
      <c r="O20" s="157">
        <v>296.94227727696585</v>
      </c>
      <c r="P20" s="158"/>
      <c r="Q20" s="132">
        <f t="shared" si="5"/>
        <v>296.94227727696585</v>
      </c>
      <c r="R20" s="157">
        <v>304.60532751095241</v>
      </c>
      <c r="S20" s="158"/>
      <c r="T20" s="132">
        <f t="shared" si="6"/>
        <v>304.60532751095241</v>
      </c>
      <c r="U20" s="157">
        <v>294.20119302858188</v>
      </c>
      <c r="V20" s="158"/>
      <c r="W20" s="132">
        <f t="shared" si="7"/>
        <v>294.20119302858188</v>
      </c>
      <c r="X20" s="157">
        <v>291.3439870611067</v>
      </c>
      <c r="Y20" s="158"/>
      <c r="Z20" s="132">
        <f t="shared" si="8"/>
        <v>291.3439870611067</v>
      </c>
      <c r="AA20" s="157">
        <v>284.4604666048055</v>
      </c>
      <c r="AB20" s="157">
        <v>320.70141797035308</v>
      </c>
      <c r="AC20" s="157">
        <v>326.8097815956458</v>
      </c>
      <c r="AD20" s="157">
        <v>339.65205217500426</v>
      </c>
      <c r="AE20" s="157">
        <v>311.12860239168998</v>
      </c>
      <c r="AF20" s="137" t="s">
        <v>110</v>
      </c>
      <c r="AG20" s="154" t="s">
        <v>110</v>
      </c>
      <c r="AH20" s="154" t="s">
        <v>110</v>
      </c>
      <c r="AI20" s="154" t="s">
        <v>110</v>
      </c>
      <c r="AJ20" s="154"/>
      <c r="AK20" s="154" t="s">
        <v>110</v>
      </c>
      <c r="AL20" s="154" t="s">
        <v>110</v>
      </c>
    </row>
    <row r="21" spans="2:39" x14ac:dyDescent="0.25">
      <c r="B21" s="159" t="s">
        <v>112</v>
      </c>
      <c r="C21" s="160">
        <v>0.16000267502201768</v>
      </c>
      <c r="D21" s="160">
        <v>0.14078216218217254</v>
      </c>
      <c r="E21" s="160">
        <v>0.13724941382807068</v>
      </c>
      <c r="F21" s="160">
        <v>0.15039928077981532</v>
      </c>
      <c r="G21" s="160">
        <v>0.16022546807622673</v>
      </c>
      <c r="H21" s="160">
        <v>0.13329667440529827</v>
      </c>
      <c r="I21" s="160">
        <v>0.14857221229290918</v>
      </c>
      <c r="J21" s="160">
        <v>0.14628152760700852</v>
      </c>
      <c r="K21" s="160">
        <v>0.14189381511454818</v>
      </c>
      <c r="L21" s="160">
        <v>0.1104063208035527</v>
      </c>
      <c r="M21" s="160">
        <v>0.12107288276312317</v>
      </c>
      <c r="N21" s="160">
        <v>0.13684171938439371</v>
      </c>
      <c r="O21" s="160">
        <v>0.12999773908413462</v>
      </c>
      <c r="P21" s="160"/>
      <c r="Q21" s="160">
        <f>O21</f>
        <v>0.12999773908413462</v>
      </c>
      <c r="R21" s="160">
        <v>0.11970465465105587</v>
      </c>
      <c r="S21" s="160"/>
      <c r="T21" s="160">
        <f>R21</f>
        <v>0.11970465465105587</v>
      </c>
      <c r="U21" s="160">
        <v>0.12093192072215377</v>
      </c>
      <c r="V21" s="160"/>
      <c r="W21" s="160">
        <f>U21</f>
        <v>0.12093192072215377</v>
      </c>
      <c r="X21" s="160">
        <v>0.12838888978746879</v>
      </c>
      <c r="Y21" s="160"/>
      <c r="Z21" s="160">
        <f>X21</f>
        <v>0.12838888978746879</v>
      </c>
      <c r="AA21" s="160">
        <v>0.12690447477510308</v>
      </c>
      <c r="AB21" s="160">
        <v>0.13813992194407232</v>
      </c>
      <c r="AC21" s="160">
        <v>9.5061938777587007E-2</v>
      </c>
      <c r="AD21" s="160">
        <v>0.105580706771983</v>
      </c>
      <c r="AE21" s="160">
        <v>0.10031988841622969</v>
      </c>
      <c r="AF21" s="161" t="s">
        <v>110</v>
      </c>
      <c r="AG21" s="154" t="s">
        <v>110</v>
      </c>
      <c r="AH21" s="154" t="s">
        <v>110</v>
      </c>
      <c r="AI21" s="154" t="s">
        <v>110</v>
      </c>
      <c r="AJ21" s="154"/>
      <c r="AK21" s="154" t="s">
        <v>110</v>
      </c>
      <c r="AL21" s="154" t="s">
        <v>110</v>
      </c>
    </row>
    <row r="22" spans="2:39" x14ac:dyDescent="0.25">
      <c r="B22" s="159" t="s">
        <v>113</v>
      </c>
      <c r="C22" s="132">
        <v>1930.9855221453806</v>
      </c>
      <c r="D22" s="132">
        <v>1906.1468152348916</v>
      </c>
      <c r="E22" s="132">
        <v>2036.8588521983704</v>
      </c>
      <c r="F22" s="132">
        <v>2308.0193021959117</v>
      </c>
      <c r="G22" s="132">
        <v>2564.8298134024485</v>
      </c>
      <c r="H22" s="132">
        <v>2716.4409307940728</v>
      </c>
      <c r="I22" s="132">
        <v>2816.1863236971913</v>
      </c>
      <c r="J22" s="132">
        <v>3046.629915724046</v>
      </c>
      <c r="K22" s="132">
        <v>3233.6462231751616</v>
      </c>
      <c r="L22" s="132">
        <v>3454.3352008880975</v>
      </c>
      <c r="M22" s="132">
        <v>3772.7898540796486</v>
      </c>
      <c r="N22" s="132">
        <v>4284.933903984821</v>
      </c>
      <c r="O22" s="132">
        <v>4697.0999665612753</v>
      </c>
      <c r="P22" s="132"/>
      <c r="Q22" s="132">
        <f t="shared" si="5"/>
        <v>4697.0999665612753</v>
      </c>
      <c r="R22" s="132">
        <v>5046.0328424742047</v>
      </c>
      <c r="S22" s="132"/>
      <c r="T22" s="132">
        <f t="shared" ref="T22" si="10">R22</f>
        <v>5046.0328424742047</v>
      </c>
      <c r="U22" s="132">
        <v>5759.3165936994837</v>
      </c>
      <c r="V22" s="132"/>
      <c r="W22" s="132">
        <f t="shared" ref="W22" si="11">U22</f>
        <v>5759.3165936994837</v>
      </c>
      <c r="X22" s="132">
        <v>6667.0138914935242</v>
      </c>
      <c r="Y22" s="132"/>
      <c r="Z22" s="132">
        <f t="shared" ref="Z22" si="12">X22</f>
        <v>6667.0138914935242</v>
      </c>
      <c r="AA22" s="132">
        <v>7539.3522540507729</v>
      </c>
      <c r="AB22" s="132">
        <v>8244.2250606336875</v>
      </c>
      <c r="AC22" s="132">
        <v>9355.2068063499155</v>
      </c>
      <c r="AD22" s="132">
        <v>10870.42708315325</v>
      </c>
      <c r="AE22" s="132">
        <v>12269.124546717712</v>
      </c>
      <c r="AF22" s="155" t="s">
        <v>110</v>
      </c>
      <c r="AG22" s="154" t="s">
        <v>110</v>
      </c>
      <c r="AH22" s="154" t="s">
        <v>110</v>
      </c>
      <c r="AI22" s="154" t="s">
        <v>110</v>
      </c>
      <c r="AJ22" s="154"/>
      <c r="AK22" s="154" t="s">
        <v>110</v>
      </c>
      <c r="AL22" s="154" t="s">
        <v>110</v>
      </c>
    </row>
    <row r="23" spans="2:39" x14ac:dyDescent="0.25"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4"/>
      <c r="AG23" s="163"/>
      <c r="AH23" s="163"/>
      <c r="AI23" s="163"/>
      <c r="AJ23" s="163"/>
      <c r="AK23" s="163"/>
      <c r="AL23" s="163"/>
    </row>
    <row r="24" spans="2:39" s="82" customFormat="1" ht="12" thickBot="1" x14ac:dyDescent="0.3">
      <c r="B24" s="147" t="s">
        <v>114</v>
      </c>
      <c r="C24" s="148" t="s">
        <v>92</v>
      </c>
      <c r="D24" s="148" t="s">
        <v>93</v>
      </c>
      <c r="E24" s="148" t="s">
        <v>44</v>
      </c>
      <c r="F24" s="148" t="s">
        <v>45</v>
      </c>
      <c r="G24" s="148" t="s">
        <v>46</v>
      </c>
      <c r="H24" s="148" t="s">
        <v>47</v>
      </c>
      <c r="I24" s="148" t="s">
        <v>48</v>
      </c>
      <c r="J24" s="148" t="s">
        <v>49</v>
      </c>
      <c r="K24" s="148" t="s">
        <v>50</v>
      </c>
      <c r="L24" s="148" t="s">
        <v>51</v>
      </c>
      <c r="M24" s="148" t="s">
        <v>52</v>
      </c>
      <c r="N24" s="148" t="s">
        <v>53</v>
      </c>
      <c r="O24" s="148" t="s">
        <v>54</v>
      </c>
      <c r="P24" s="148" t="s">
        <v>55</v>
      </c>
      <c r="Q24" s="148" t="s">
        <v>54</v>
      </c>
      <c r="R24" s="148" t="s">
        <v>57</v>
      </c>
      <c r="S24" s="148" t="s">
        <v>55</v>
      </c>
      <c r="T24" s="148" t="s">
        <v>57</v>
      </c>
      <c r="U24" s="148" t="s">
        <v>59</v>
      </c>
      <c r="V24" s="148" t="s">
        <v>55</v>
      </c>
      <c r="W24" s="148" t="s">
        <v>59</v>
      </c>
      <c r="X24" s="148" t="s">
        <v>61</v>
      </c>
      <c r="Y24" s="148" t="s">
        <v>55</v>
      </c>
      <c r="Z24" s="148" t="s">
        <v>61</v>
      </c>
      <c r="AA24" s="149" t="s">
        <v>7</v>
      </c>
      <c r="AB24" s="149" t="s">
        <v>63</v>
      </c>
      <c r="AC24" s="149" t="s">
        <v>64</v>
      </c>
      <c r="AD24" s="149" t="s">
        <v>65</v>
      </c>
      <c r="AE24" s="149" t="s">
        <v>6</v>
      </c>
      <c r="AF24" s="150" t="s">
        <v>94</v>
      </c>
      <c r="AG24" s="148" t="s">
        <v>67</v>
      </c>
      <c r="AH24" s="148" t="s">
        <v>68</v>
      </c>
      <c r="AI24" s="148" t="s">
        <v>69</v>
      </c>
      <c r="AJ24" s="148" t="s">
        <v>103</v>
      </c>
      <c r="AK24" s="148" t="s">
        <v>69</v>
      </c>
      <c r="AL24" s="148" t="s">
        <v>68</v>
      </c>
    </row>
    <row r="25" spans="2:39" x14ac:dyDescent="0.25">
      <c r="B25" s="135" t="s">
        <v>72</v>
      </c>
      <c r="C25" s="132">
        <v>152.07229953000001</v>
      </c>
      <c r="D25" s="132">
        <v>165.23037348000003</v>
      </c>
      <c r="E25" s="132">
        <v>177.73191149000002</v>
      </c>
      <c r="F25" s="132">
        <v>172.12073279999998</v>
      </c>
      <c r="G25" s="132">
        <v>164.66688530999997</v>
      </c>
      <c r="H25" s="132">
        <v>173.49154095999998</v>
      </c>
      <c r="I25" s="132">
        <v>171.97195245999998</v>
      </c>
      <c r="J25" s="132">
        <v>165.07821688999999</v>
      </c>
      <c r="K25" s="132">
        <v>156.45436412000001</v>
      </c>
      <c r="L25" s="132">
        <v>145.15598992000002</v>
      </c>
      <c r="M25" s="132">
        <v>134.01486746999998</v>
      </c>
      <c r="N25" s="132">
        <v>133.73871747000001</v>
      </c>
      <c r="O25" s="132">
        <v>129.20761883</v>
      </c>
      <c r="P25" s="132"/>
      <c r="Q25" s="132">
        <f>O25</f>
        <v>129.20761883</v>
      </c>
      <c r="R25" s="132">
        <v>131.76906590000002</v>
      </c>
      <c r="S25" s="132"/>
      <c r="T25" s="132">
        <f>R25</f>
        <v>131.76906590000002</v>
      </c>
      <c r="U25" s="132">
        <v>136.98414526999997</v>
      </c>
      <c r="V25" s="132"/>
      <c r="W25" s="132">
        <f>U25</f>
        <v>136.98414526999997</v>
      </c>
      <c r="X25" s="132">
        <v>145.42255181000002</v>
      </c>
      <c r="Y25" s="132"/>
      <c r="Z25" s="132">
        <f>X25</f>
        <v>145.42255181000002</v>
      </c>
      <c r="AA25" s="132">
        <v>140.26409838000001</v>
      </c>
      <c r="AB25" s="132">
        <v>128.48683777000002</v>
      </c>
      <c r="AC25" s="132">
        <v>131.32500521</v>
      </c>
      <c r="AD25" s="132">
        <v>133.47327998000003</v>
      </c>
      <c r="AE25" s="132">
        <v>135.21941659000001</v>
      </c>
      <c r="AF25" s="137">
        <f>SUM(C25:F25)</f>
        <v>667.15531729999998</v>
      </c>
      <c r="AG25" s="132">
        <f>SUM(G25:J25)</f>
        <v>675.20859561999998</v>
      </c>
      <c r="AH25" s="132">
        <f>SUM(K25:N25)</f>
        <v>569.36393898000006</v>
      </c>
      <c r="AI25" s="132">
        <f>SUM(O25,R25,U25,X25)</f>
        <v>543.38338180999995</v>
      </c>
      <c r="AJ25" s="132"/>
      <c r="AK25" s="132">
        <f>AI25</f>
        <v>543.38338180999995</v>
      </c>
      <c r="AL25" s="132">
        <f>SUM(AA25:AD25)</f>
        <v>533.54922134000003</v>
      </c>
      <c r="AM25" s="139"/>
    </row>
    <row r="26" spans="2:39" x14ac:dyDescent="0.25">
      <c r="B26" s="135" t="s">
        <v>73</v>
      </c>
      <c r="C26" s="132">
        <v>151.21452700999998</v>
      </c>
      <c r="D26" s="132">
        <v>164.65306380999999</v>
      </c>
      <c r="E26" s="132">
        <v>177.32391349</v>
      </c>
      <c r="F26" s="132">
        <v>171.90541924999999</v>
      </c>
      <c r="G26" s="132">
        <v>164.25539864999999</v>
      </c>
      <c r="H26" s="132">
        <v>173.01842091</v>
      </c>
      <c r="I26" s="132">
        <v>171.50164576</v>
      </c>
      <c r="J26" s="132">
        <v>164.46137048000003</v>
      </c>
      <c r="K26" s="132">
        <v>155.89779544999999</v>
      </c>
      <c r="L26" s="132">
        <v>144.11140334000001</v>
      </c>
      <c r="M26" s="132">
        <v>133.44462566999999</v>
      </c>
      <c r="N26" s="132">
        <v>132.22126349000001</v>
      </c>
      <c r="O26" s="132">
        <v>128.64060570000001</v>
      </c>
      <c r="P26" s="132"/>
      <c r="Q26" s="132">
        <f t="shared" ref="Q26:Q32" si="13">O26</f>
        <v>128.64060570000001</v>
      </c>
      <c r="R26" s="132">
        <v>131.11994113</v>
      </c>
      <c r="S26" s="132"/>
      <c r="T26" s="132">
        <f t="shared" ref="T26:T32" si="14">R26</f>
        <v>131.11994113</v>
      </c>
      <c r="U26" s="132">
        <v>135.77144312999999</v>
      </c>
      <c r="V26" s="132"/>
      <c r="W26" s="132">
        <f t="shared" ref="W26:W32" si="15">U26</f>
        <v>135.77144312999999</v>
      </c>
      <c r="X26" s="132">
        <v>143.09006016999999</v>
      </c>
      <c r="Y26" s="132"/>
      <c r="Z26" s="132">
        <f t="shared" ref="Z26:Z32" si="16">X26</f>
        <v>143.09006016999999</v>
      </c>
      <c r="AA26" s="132">
        <v>137.77095656</v>
      </c>
      <c r="AB26" s="132">
        <v>127.53612156</v>
      </c>
      <c r="AC26" s="132">
        <v>129.83765082999997</v>
      </c>
      <c r="AD26" s="132">
        <v>128.25047434000001</v>
      </c>
      <c r="AE26" s="132">
        <v>131.03306296</v>
      </c>
      <c r="AF26" s="137">
        <f>SUM(C26:F26)</f>
        <v>665.09692355999994</v>
      </c>
      <c r="AG26" s="132">
        <f>SUM(G26:J26)</f>
        <v>673.23683579999999</v>
      </c>
      <c r="AH26" s="132">
        <f>SUM(K26:N26)</f>
        <v>565.67508795000003</v>
      </c>
      <c r="AI26" s="132">
        <f>SUM(O26,R26,U26,X26)</f>
        <v>538.62205013000005</v>
      </c>
      <c r="AJ26" s="132"/>
      <c r="AK26" s="132">
        <f t="shared" ref="AK26:AK28" si="17">AI26</f>
        <v>538.62205013000005</v>
      </c>
      <c r="AL26" s="132">
        <f>SUM(AA26:AD26)</f>
        <v>523.39520329000004</v>
      </c>
      <c r="AM26" s="139"/>
    </row>
    <row r="27" spans="2:39" x14ac:dyDescent="0.25">
      <c r="B27" s="153" t="s">
        <v>115</v>
      </c>
      <c r="C27" s="132">
        <v>43.40816265078869</v>
      </c>
      <c r="D27" s="132">
        <v>45.037356527375266</v>
      </c>
      <c r="E27" s="132">
        <v>43.435926650812092</v>
      </c>
      <c r="F27" s="132">
        <v>45.046565988930809</v>
      </c>
      <c r="G27" s="132">
        <v>45.517929356074596</v>
      </c>
      <c r="H27" s="132">
        <v>44.593353649556867</v>
      </c>
      <c r="I27" s="132">
        <v>43.880501557840667</v>
      </c>
      <c r="J27" s="132">
        <v>42.932132584577452</v>
      </c>
      <c r="K27" s="132">
        <v>44.882438013657769</v>
      </c>
      <c r="L27" s="132">
        <v>40.613392476114718</v>
      </c>
      <c r="M27" s="132">
        <v>37.424488808962117</v>
      </c>
      <c r="N27" s="132">
        <v>40.117494718550532</v>
      </c>
      <c r="O27" s="132">
        <v>40.84746659351638</v>
      </c>
      <c r="P27" s="132"/>
      <c r="Q27" s="132">
        <f t="shared" si="13"/>
        <v>40.84746659351638</v>
      </c>
      <c r="R27" s="132">
        <v>42.204743869714022</v>
      </c>
      <c r="S27" s="132"/>
      <c r="T27" s="132">
        <f t="shared" si="14"/>
        <v>42.204743869714022</v>
      </c>
      <c r="U27" s="132">
        <v>41.978639141735336</v>
      </c>
      <c r="V27" s="132"/>
      <c r="W27" s="132">
        <f t="shared" si="15"/>
        <v>41.978639141735336</v>
      </c>
      <c r="X27" s="132">
        <v>45.079198519768838</v>
      </c>
      <c r="Y27" s="132"/>
      <c r="Z27" s="132">
        <f t="shared" si="16"/>
        <v>45.079198519768838</v>
      </c>
      <c r="AA27" s="132">
        <v>38.54043625095219</v>
      </c>
      <c r="AB27" s="132">
        <v>39.023171447145224</v>
      </c>
      <c r="AC27" s="132">
        <v>37.420766827896905</v>
      </c>
      <c r="AD27" s="132">
        <v>39.808725604658406</v>
      </c>
      <c r="AE27" s="132">
        <v>39.284420360334614</v>
      </c>
      <c r="AF27" s="137">
        <f>SUM(C27:F27)</f>
        <v>176.92801181790685</v>
      </c>
      <c r="AG27" s="132">
        <f>SUM(G27:J27)</f>
        <v>176.92391714804958</v>
      </c>
      <c r="AH27" s="132">
        <f>SUM(K27:N27)</f>
        <v>163.03781401728514</v>
      </c>
      <c r="AI27" s="132">
        <f>SUM(O27,R27,U27,X27)</f>
        <v>170.11004812473459</v>
      </c>
      <c r="AJ27" s="132"/>
      <c r="AK27" s="132">
        <f t="shared" si="17"/>
        <v>170.11004812473459</v>
      </c>
      <c r="AL27" s="132">
        <f>SUM(AA27:AD27)</f>
        <v>154.79310013065273</v>
      </c>
    </row>
    <row r="28" spans="2:39" x14ac:dyDescent="0.25">
      <c r="B28" s="153" t="s">
        <v>116</v>
      </c>
      <c r="C28" s="154">
        <v>2.1892230000000001</v>
      </c>
      <c r="D28" s="154">
        <v>2.1527750000000001</v>
      </c>
      <c r="E28" s="154">
        <v>2.1330550000000001</v>
      </c>
      <c r="F28" s="154">
        <v>2.1701350000000001</v>
      </c>
      <c r="G28" s="154">
        <v>2.189832</v>
      </c>
      <c r="H28" s="154">
        <v>2.1958199999999999</v>
      </c>
      <c r="I28" s="154">
        <v>2.2005140000000001</v>
      </c>
      <c r="J28" s="154">
        <v>2.2406549999999998</v>
      </c>
      <c r="K28" s="154">
        <v>2.2622420000000001</v>
      </c>
      <c r="L28" s="154">
        <v>2.2869860000000002</v>
      </c>
      <c r="M28" s="154">
        <v>2.3198120000000002</v>
      </c>
      <c r="N28" s="154">
        <v>2.409484</v>
      </c>
      <c r="O28" s="154">
        <v>2.4581430000000002</v>
      </c>
      <c r="P28" s="154"/>
      <c r="Q28" s="132">
        <f t="shared" si="13"/>
        <v>2.4581430000000002</v>
      </c>
      <c r="R28" s="154">
        <v>2.4933169999999998</v>
      </c>
      <c r="S28" s="154"/>
      <c r="T28" s="132">
        <f t="shared" si="14"/>
        <v>2.4933169999999998</v>
      </c>
      <c r="U28" s="154">
        <v>2.5492750000000002</v>
      </c>
      <c r="V28" s="154"/>
      <c r="W28" s="132">
        <f t="shared" si="15"/>
        <v>2.5492750000000002</v>
      </c>
      <c r="X28" s="154">
        <v>2.6256550000000001</v>
      </c>
      <c r="Y28" s="154"/>
      <c r="Z28" s="132">
        <f t="shared" si="16"/>
        <v>2.6256550000000001</v>
      </c>
      <c r="AA28" s="154">
        <v>2.666846</v>
      </c>
      <c r="AB28" s="154">
        <v>2.6896879999999999</v>
      </c>
      <c r="AC28" s="154">
        <v>2.7749220000000001</v>
      </c>
      <c r="AD28" s="154">
        <v>2.8403909999999999</v>
      </c>
      <c r="AE28" s="154">
        <v>2.8552390000000001</v>
      </c>
      <c r="AF28" s="155">
        <f>F28</f>
        <v>2.1701350000000001</v>
      </c>
      <c r="AG28" s="154">
        <f>J28</f>
        <v>2.2406549999999998</v>
      </c>
      <c r="AH28" s="154">
        <f>N28</f>
        <v>2.409484</v>
      </c>
      <c r="AI28" s="154">
        <f>X28</f>
        <v>2.6256550000000001</v>
      </c>
      <c r="AJ28" s="154"/>
      <c r="AK28" s="154">
        <f t="shared" si="17"/>
        <v>2.6256550000000001</v>
      </c>
      <c r="AL28" s="154">
        <f>AD28</f>
        <v>2.8403909999999999</v>
      </c>
    </row>
    <row r="29" spans="2:39" x14ac:dyDescent="0.25">
      <c r="B29" s="153" t="s">
        <v>117</v>
      </c>
      <c r="C29" s="154">
        <v>6.207745102115549</v>
      </c>
      <c r="D29" s="154">
        <v>6.8545563966166876</v>
      </c>
      <c r="E29" s="154">
        <v>6.754081250968861</v>
      </c>
      <c r="F29" s="154">
        <v>6.8956233404995864</v>
      </c>
      <c r="G29" s="154">
        <f>G60/G84</f>
        <v>6.8878013589028901</v>
      </c>
      <c r="H29" s="154">
        <f>H60/H84</f>
        <v>6.8600481522813457</v>
      </c>
      <c r="I29" s="154">
        <f>I60/I84</f>
        <v>6.5048090828934511</v>
      </c>
      <c r="J29" s="154">
        <f>J60/66.1271</f>
        <v>5.6922866420626628</v>
      </c>
      <c r="K29" s="154">
        <f>K60/K84</f>
        <v>6.6629747366203418</v>
      </c>
      <c r="L29" s="165">
        <f>L60/L84</f>
        <v>6.4542447708783079</v>
      </c>
      <c r="M29" s="165">
        <f>M60/M84</f>
        <v>6.3362756599563435</v>
      </c>
      <c r="N29" s="165">
        <f>N60/N84</f>
        <v>5.7256837100352831</v>
      </c>
      <c r="O29" s="165">
        <f>O60/O84</f>
        <v>5.482133592048287</v>
      </c>
      <c r="P29" s="165"/>
      <c r="Q29" s="165">
        <f t="shared" si="13"/>
        <v>5.482133592048287</v>
      </c>
      <c r="R29" s="165">
        <f>R60/R84</f>
        <v>5.6536818353347815</v>
      </c>
      <c r="S29" s="165"/>
      <c r="T29" s="165">
        <f t="shared" si="14"/>
        <v>5.6536818353347815</v>
      </c>
      <c r="U29" s="165">
        <f>U60/U84</f>
        <v>5.5858816618389122</v>
      </c>
      <c r="V29" s="165"/>
      <c r="W29" s="165">
        <f t="shared" si="15"/>
        <v>5.5858816618389122</v>
      </c>
      <c r="X29" s="165">
        <f>X60/X84</f>
        <v>5.7364573820711335</v>
      </c>
      <c r="Y29" s="165"/>
      <c r="Z29" s="165">
        <f t="shared" si="16"/>
        <v>5.7364573820711335</v>
      </c>
      <c r="AA29" s="165">
        <f>AA60/AA84</f>
        <v>5.3620119873175627</v>
      </c>
      <c r="AB29" s="165">
        <f>AB60/AB84</f>
        <v>4.6462047041153189</v>
      </c>
      <c r="AC29" s="165">
        <f>AC60/AC84</f>
        <v>4.6956974009528034</v>
      </c>
      <c r="AD29" s="165">
        <f>AD60/AD84</f>
        <v>4.5918760703084116</v>
      </c>
      <c r="AE29" s="165">
        <f>AE60/AE84</f>
        <v>4.6027528525104451</v>
      </c>
      <c r="AF29" s="155" t="s">
        <v>110</v>
      </c>
      <c r="AG29" s="132" t="s">
        <v>110</v>
      </c>
      <c r="AH29" s="132" t="s">
        <v>110</v>
      </c>
      <c r="AI29" s="132" t="s">
        <v>110</v>
      </c>
      <c r="AJ29" s="132"/>
      <c r="AK29" s="132" t="s">
        <v>110</v>
      </c>
      <c r="AL29" s="132" t="s">
        <v>110</v>
      </c>
    </row>
    <row r="30" spans="2:39" x14ac:dyDescent="0.25">
      <c r="B30" s="135" t="s">
        <v>118</v>
      </c>
      <c r="C30" s="132">
        <v>42.724413799534702</v>
      </c>
      <c r="D30" s="132">
        <v>44.3548679716178</v>
      </c>
      <c r="E30" s="132">
        <v>42.9491361090342</v>
      </c>
      <c r="F30" s="132">
        <v>44.5492407765664</v>
      </c>
      <c r="G30" s="132">
        <v>45.052629798185798</v>
      </c>
      <c r="H30" s="132">
        <v>44.067046950374198</v>
      </c>
      <c r="I30" s="132">
        <v>43.465140765135402</v>
      </c>
      <c r="J30" s="132">
        <f>2484.06499373763/J84</f>
        <v>42.529533518313073</v>
      </c>
      <c r="K30" s="132">
        <f>K61/K84</f>
        <v>44.403249833206154</v>
      </c>
      <c r="L30" s="132">
        <f>L61/L84</f>
        <v>43.54578554828894</v>
      </c>
      <c r="M30" s="132">
        <f>M61/M84</f>
        <v>43.333846626337824</v>
      </c>
      <c r="N30" s="132">
        <f>N61/N84</f>
        <v>40.177128714152751</v>
      </c>
      <c r="O30" s="132">
        <f>O61/O84</f>
        <v>39.571949807767659</v>
      </c>
      <c r="P30" s="132"/>
      <c r="Q30" s="132">
        <f t="shared" si="13"/>
        <v>39.571949807767659</v>
      </c>
      <c r="R30" s="132">
        <f>R61/R84</f>
        <v>41.231386164669921</v>
      </c>
      <c r="S30" s="132"/>
      <c r="T30" s="132">
        <f t="shared" si="14"/>
        <v>41.231386164669921</v>
      </c>
      <c r="U30" s="132">
        <f>U61/U84</f>
        <v>41.059038608237294</v>
      </c>
      <c r="V30" s="132"/>
      <c r="W30" s="132">
        <f t="shared" si="15"/>
        <v>41.059038608237294</v>
      </c>
      <c r="X30" s="132">
        <f>X61/X84</f>
        <v>43.277060284166474</v>
      </c>
      <c r="Y30" s="132"/>
      <c r="Z30" s="132">
        <f t="shared" si="16"/>
        <v>43.277060284166474</v>
      </c>
      <c r="AA30" s="132">
        <f>AA61/AA84</f>
        <v>41.509401873321089</v>
      </c>
      <c r="AB30" s="132">
        <f>AB61/AB84</f>
        <v>36.566482040612847</v>
      </c>
      <c r="AC30" s="132">
        <f>AC61/AC84</f>
        <v>37.494682992810652</v>
      </c>
      <c r="AD30" s="132">
        <f>AD61/AD84</f>
        <v>37.974593366529845</v>
      </c>
      <c r="AE30" s="132">
        <f>AE61/AE84</f>
        <v>38.739537711351993</v>
      </c>
      <c r="AF30" s="137">
        <f>SUM(C30:F30)</f>
        <v>174.57765865675307</v>
      </c>
      <c r="AG30" s="136">
        <f>SUM(G30:J30)</f>
        <v>175.11435103200847</v>
      </c>
      <c r="AH30" s="132">
        <f>SUM(K30:N30)</f>
        <v>171.46001072198567</v>
      </c>
      <c r="AI30" s="132">
        <f>SUM(O30,R30,U30,X30)</f>
        <v>165.13943486484135</v>
      </c>
      <c r="AJ30" s="132"/>
      <c r="AK30" s="132">
        <f t="shared" ref="AK30:AK31" si="18">AI30</f>
        <v>165.13943486484135</v>
      </c>
      <c r="AL30" s="132">
        <f>SUM(AA30:AD30)</f>
        <v>153.54516027327443</v>
      </c>
    </row>
    <row r="31" spans="2:39" x14ac:dyDescent="0.25">
      <c r="B31" s="162" t="s">
        <v>119</v>
      </c>
      <c r="C31" s="154">
        <v>2.164399</v>
      </c>
      <c r="D31" s="154">
        <v>2.1306129999999999</v>
      </c>
      <c r="E31" s="154">
        <v>2.1121370000000002</v>
      </c>
      <c r="F31" s="154">
        <v>2.161394</v>
      </c>
      <c r="G31" s="154">
        <v>2.1740979999999999</v>
      </c>
      <c r="H31" s="154">
        <v>2.1814770000000001</v>
      </c>
      <c r="I31" s="154">
        <v>2.1871139999999998</v>
      </c>
      <c r="J31" s="154">
        <v>2.2278419999999999</v>
      </c>
      <c r="K31" s="154">
        <v>2.2503250000000001</v>
      </c>
      <c r="L31" s="154">
        <v>2.2757580000000002</v>
      </c>
      <c r="M31" s="154">
        <v>2.3093140000000001</v>
      </c>
      <c r="N31" s="154">
        <v>2.3994149999999999</v>
      </c>
      <c r="O31" s="154">
        <v>2.4486129999999999</v>
      </c>
      <c r="P31" s="154"/>
      <c r="Q31" s="132">
        <f t="shared" si="13"/>
        <v>2.4486129999999999</v>
      </c>
      <c r="R31" s="154">
        <v>2.4843150000000001</v>
      </c>
      <c r="S31" s="154"/>
      <c r="T31" s="132">
        <f t="shared" si="14"/>
        <v>2.4843150000000001</v>
      </c>
      <c r="U31" s="154">
        <v>2.5412560000000002</v>
      </c>
      <c r="V31" s="154"/>
      <c r="W31" s="132">
        <f t="shared" si="15"/>
        <v>2.5412560000000002</v>
      </c>
      <c r="X31" s="154">
        <v>2.618268</v>
      </c>
      <c r="Y31" s="154"/>
      <c r="Z31" s="132">
        <f t="shared" si="16"/>
        <v>2.618268</v>
      </c>
      <c r="AA31" s="154">
        <v>2.659897</v>
      </c>
      <c r="AB31" s="154">
        <v>2.6831209999999999</v>
      </c>
      <c r="AC31" s="154">
        <v>2.7688480000000002</v>
      </c>
      <c r="AD31" s="154">
        <v>2.8346719999999999</v>
      </c>
      <c r="AE31" s="154">
        <v>2.8498350000000001</v>
      </c>
      <c r="AF31" s="155">
        <f>F31</f>
        <v>2.161394</v>
      </c>
      <c r="AG31" s="166">
        <f>J31</f>
        <v>2.2278419999999999</v>
      </c>
      <c r="AH31" s="166">
        <f>N31</f>
        <v>2.3994149999999999</v>
      </c>
      <c r="AI31" s="166">
        <f>X31</f>
        <v>2.618268</v>
      </c>
      <c r="AJ31" s="166"/>
      <c r="AK31" s="166">
        <f t="shared" si="18"/>
        <v>2.618268</v>
      </c>
      <c r="AL31" s="166">
        <f>AD31</f>
        <v>2.8346719999999999</v>
      </c>
    </row>
    <row r="32" spans="2:39" ht="12" thickBot="1" x14ac:dyDescent="0.3">
      <c r="B32" s="167" t="s">
        <v>120</v>
      </c>
      <c r="C32" s="168">
        <v>6.1805603692546667</v>
      </c>
      <c r="D32" s="168">
        <v>6.8245338262594393</v>
      </c>
      <c r="E32" s="168">
        <v>6.7461985802563094</v>
      </c>
      <c r="F32" s="168">
        <v>6.8668501773879091</v>
      </c>
      <c r="G32" s="168">
        <f t="shared" ref="G32:O32" si="19">G63/G84</f>
        <v>6.8557825063875359</v>
      </c>
      <c r="H32" s="168">
        <f t="shared" si="19"/>
        <v>6.8258957138228116</v>
      </c>
      <c r="I32" s="168">
        <f t="shared" si="19"/>
        <v>6.4841545042671784</v>
      </c>
      <c r="J32" s="168">
        <f t="shared" si="19"/>
        <v>6.4220396184111577</v>
      </c>
      <c r="K32" s="168">
        <f t="shared" si="19"/>
        <v>6.6103310920451976</v>
      </c>
      <c r="L32" s="168">
        <f t="shared" si="19"/>
        <v>6.4140502281684393</v>
      </c>
      <c r="M32" s="168">
        <f t="shared" si="19"/>
        <v>6.3007148163050042</v>
      </c>
      <c r="N32" s="168">
        <f t="shared" si="19"/>
        <v>5.6883189659251645</v>
      </c>
      <c r="O32" s="168">
        <f t="shared" si="19"/>
        <v>5.441655838589444</v>
      </c>
      <c r="P32" s="168"/>
      <c r="Q32" s="169">
        <f t="shared" si="13"/>
        <v>5.441655838589444</v>
      </c>
      <c r="R32" s="168">
        <f>R63/R84</f>
        <v>5.5722667706576319</v>
      </c>
      <c r="S32" s="168"/>
      <c r="T32" s="169">
        <f t="shared" si="14"/>
        <v>5.5722667706576319</v>
      </c>
      <c r="U32" s="168">
        <f>U63/U84</f>
        <v>5.4466830546203671</v>
      </c>
      <c r="V32" s="168"/>
      <c r="W32" s="169">
        <f t="shared" si="15"/>
        <v>5.4466830546203671</v>
      </c>
      <c r="X32" s="168">
        <f>X63/X84</f>
        <v>5.5918672968238248</v>
      </c>
      <c r="Y32" s="168"/>
      <c r="Z32" s="169">
        <f t="shared" si="16"/>
        <v>5.5918672968238248</v>
      </c>
      <c r="AA32" s="168">
        <f>AA63/AA84</f>
        <v>5.2429082043123056</v>
      </c>
      <c r="AB32" s="168">
        <f>AB63/AB84</f>
        <v>4.5625252794847215</v>
      </c>
      <c r="AC32" s="168">
        <f>AC63/AC84</f>
        <v>4.5848491303858179</v>
      </c>
      <c r="AD32" s="168">
        <f>AD63/AD84</f>
        <v>4.5179450733978932</v>
      </c>
      <c r="AE32" s="168">
        <f>AE63/AE84</f>
        <v>4.543289061696056</v>
      </c>
      <c r="AF32" s="170" t="s">
        <v>110</v>
      </c>
      <c r="AG32" s="171" t="s">
        <v>110</v>
      </c>
      <c r="AH32" s="171" t="s">
        <v>110</v>
      </c>
      <c r="AI32" s="171" t="s">
        <v>110</v>
      </c>
      <c r="AJ32" s="171"/>
      <c r="AK32" s="171" t="s">
        <v>110</v>
      </c>
      <c r="AL32" s="171" t="s">
        <v>110</v>
      </c>
    </row>
    <row r="33" spans="2:39" s="82" customFormat="1" ht="12" thickTop="1" x14ac:dyDescent="0.25">
      <c r="C33" s="172"/>
      <c r="D33" s="172"/>
      <c r="E33" s="172"/>
      <c r="F33" s="172"/>
      <c r="G33" s="172"/>
      <c r="H33" s="172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4"/>
      <c r="AB33" s="174"/>
      <c r="AC33" s="174"/>
      <c r="AD33" s="174"/>
      <c r="AE33" s="174"/>
      <c r="AF33" s="175"/>
      <c r="AG33" s="172"/>
      <c r="AH33" s="172"/>
      <c r="AI33" s="172"/>
      <c r="AJ33" s="172"/>
      <c r="AK33" s="172"/>
      <c r="AL33" s="172"/>
    </row>
    <row r="34" spans="2:39" s="28" customFormat="1" ht="12" thickBot="1" x14ac:dyDescent="0.3">
      <c r="B34" s="36" t="s">
        <v>121</v>
      </c>
      <c r="C34" s="176"/>
      <c r="D34" s="176"/>
      <c r="E34" s="176"/>
      <c r="F34" s="176"/>
      <c r="G34" s="176"/>
      <c r="H34" s="176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8"/>
      <c r="AB34" s="178"/>
      <c r="AC34" s="178"/>
      <c r="AD34" s="178"/>
      <c r="AE34" s="178"/>
      <c r="AF34" s="179"/>
      <c r="AG34" s="176"/>
      <c r="AH34" s="176"/>
      <c r="AI34" s="176"/>
      <c r="AJ34" s="176"/>
      <c r="AK34" s="176"/>
      <c r="AL34" s="176"/>
    </row>
    <row r="35" spans="2:39" s="82" customFormat="1" ht="12.5" thickTop="1" thickBot="1" x14ac:dyDescent="0.3">
      <c r="B35" s="38" t="s">
        <v>99</v>
      </c>
      <c r="C35" s="43" t="s">
        <v>92</v>
      </c>
      <c r="D35" s="43" t="s">
        <v>93</v>
      </c>
      <c r="E35" s="43" t="s">
        <v>44</v>
      </c>
      <c r="F35" s="43" t="s">
        <v>45</v>
      </c>
      <c r="G35" s="43" t="s">
        <v>46</v>
      </c>
      <c r="H35" s="43" t="s">
        <v>47</v>
      </c>
      <c r="I35" s="43" t="s">
        <v>48</v>
      </c>
      <c r="J35" s="43" t="s">
        <v>49</v>
      </c>
      <c r="K35" s="43" t="s">
        <v>50</v>
      </c>
      <c r="L35" s="43" t="s">
        <v>51</v>
      </c>
      <c r="M35" s="43" t="s">
        <v>52</v>
      </c>
      <c r="N35" s="43" t="s">
        <v>53</v>
      </c>
      <c r="O35" s="43" t="s">
        <v>54</v>
      </c>
      <c r="P35" s="43" t="s">
        <v>55</v>
      </c>
      <c r="Q35" s="43" t="s">
        <v>56</v>
      </c>
      <c r="R35" s="43" t="s">
        <v>57</v>
      </c>
      <c r="S35" s="43" t="s">
        <v>55</v>
      </c>
      <c r="T35" s="43" t="s">
        <v>58</v>
      </c>
      <c r="U35" s="43" t="s">
        <v>59</v>
      </c>
      <c r="V35" s="43" t="s">
        <v>55</v>
      </c>
      <c r="W35" s="43" t="s">
        <v>60</v>
      </c>
      <c r="X35" s="43" t="s">
        <v>61</v>
      </c>
      <c r="Y35" s="43" t="s">
        <v>55</v>
      </c>
      <c r="Z35" s="43" t="s">
        <v>62</v>
      </c>
      <c r="AA35" s="180" t="s">
        <v>7</v>
      </c>
      <c r="AB35" s="180" t="s">
        <v>63</v>
      </c>
      <c r="AC35" s="180" t="s">
        <v>64</v>
      </c>
      <c r="AD35" s="180" t="s">
        <v>65</v>
      </c>
      <c r="AE35" s="180" t="s">
        <v>6</v>
      </c>
      <c r="AF35" s="134" t="s">
        <v>94</v>
      </c>
      <c r="AG35" s="43" t="s">
        <v>67</v>
      </c>
      <c r="AH35" s="43" t="s">
        <v>68</v>
      </c>
      <c r="AI35" s="43" t="s">
        <v>69</v>
      </c>
      <c r="AJ35" s="43" t="s">
        <v>55</v>
      </c>
      <c r="AK35" s="43" t="s">
        <v>70</v>
      </c>
      <c r="AL35" s="43" t="s">
        <v>71</v>
      </c>
    </row>
    <row r="36" spans="2:39" s="82" customFormat="1" x14ac:dyDescent="0.25">
      <c r="B36" s="181" t="s">
        <v>72</v>
      </c>
      <c r="C36" s="132">
        <v>65921.001797100005</v>
      </c>
      <c r="D36" s="132">
        <v>66422.713499209989</v>
      </c>
      <c r="E36" s="136">
        <v>70529.486767599999</v>
      </c>
      <c r="F36" s="136">
        <v>70129.580603940005</v>
      </c>
      <c r="G36" s="136">
        <v>64506.789549730012</v>
      </c>
      <c r="H36" s="136">
        <v>68406.560718410008</v>
      </c>
      <c r="I36" s="136">
        <v>72558.760142059997</v>
      </c>
      <c r="J36" s="136">
        <v>70414.66713655999</v>
      </c>
      <c r="K36" s="136">
        <v>66351.171532509994</v>
      </c>
      <c r="L36" s="136">
        <v>72542.316098619995</v>
      </c>
      <c r="M36" s="136">
        <v>76749.952904149992</v>
      </c>
      <c r="N36" s="136">
        <v>75895.462333589996</v>
      </c>
      <c r="O36" s="136">
        <v>69247.237297140018</v>
      </c>
      <c r="P36" s="136"/>
      <c r="Q36" s="136">
        <f>O36</f>
        <v>69247.237297140018</v>
      </c>
      <c r="R36" s="136">
        <v>72553.521976079996</v>
      </c>
      <c r="S36" s="136"/>
      <c r="T36" s="136">
        <f>R36</f>
        <v>72553.521976079996</v>
      </c>
      <c r="U36" s="136">
        <v>74689.925987330018</v>
      </c>
      <c r="V36" s="136"/>
      <c r="W36" s="136">
        <f>U36</f>
        <v>74689.925987330018</v>
      </c>
      <c r="X36" s="136">
        <v>73383.897462730005</v>
      </c>
      <c r="Y36" s="136"/>
      <c r="Z36" s="136">
        <f>X36</f>
        <v>73383.897462730005</v>
      </c>
      <c r="AA36" s="132">
        <v>67457.392731960004</v>
      </c>
      <c r="AB36" s="132">
        <v>65513.397151759993</v>
      </c>
      <c r="AC36" s="132">
        <v>69579.935296200012</v>
      </c>
      <c r="AD36" s="132">
        <v>71929.7484864</v>
      </c>
      <c r="AE36" s="132">
        <v>68402.794288099991</v>
      </c>
      <c r="AF36" s="137">
        <f>SUM(C36:F36)</f>
        <v>273002.78266785003</v>
      </c>
      <c r="AG36" s="132">
        <f>SUM(G36:J36)</f>
        <v>275886.77754676004</v>
      </c>
      <c r="AH36" s="132">
        <f>SUM(K36:N36)</f>
        <v>291538.90286886995</v>
      </c>
      <c r="AI36" s="132">
        <f>SUM(O36,R36,U36,X36)</f>
        <v>289874.58272328007</v>
      </c>
      <c r="AJ36" s="132"/>
      <c r="AK36" s="138">
        <f>AI36</f>
        <v>289874.58272328007</v>
      </c>
      <c r="AL36" s="132">
        <f>SUM(AA36:AD36)</f>
        <v>274480.47366631997</v>
      </c>
      <c r="AM36" s="141"/>
    </row>
    <row r="37" spans="2:39" s="82" customFormat="1" x14ac:dyDescent="0.25">
      <c r="B37" s="135" t="s">
        <v>122</v>
      </c>
      <c r="C37" s="132">
        <v>24409.866659130003</v>
      </c>
      <c r="D37" s="132">
        <v>27269.276309550001</v>
      </c>
      <c r="E37" s="136">
        <v>26710.222091060004</v>
      </c>
      <c r="F37" s="136">
        <v>26401.019864030008</v>
      </c>
      <c r="G37" s="136">
        <v>24070.154398550007</v>
      </c>
      <c r="H37" s="136">
        <v>26925.340979670007</v>
      </c>
      <c r="I37" s="136">
        <v>28238.743082239998</v>
      </c>
      <c r="J37" s="136">
        <v>25107.812561269995</v>
      </c>
      <c r="K37" s="136">
        <v>25204.427618650003</v>
      </c>
      <c r="L37" s="136">
        <v>27242.526054239999</v>
      </c>
      <c r="M37" s="136">
        <v>27375.888753799994</v>
      </c>
      <c r="N37" s="136">
        <v>24894.063032590006</v>
      </c>
      <c r="O37" s="136">
        <v>30934.426729660012</v>
      </c>
      <c r="P37" s="132">
        <v>5404.2767268575672</v>
      </c>
      <c r="Q37" s="136">
        <f>O37-P37</f>
        <v>25530.150002802446</v>
      </c>
      <c r="R37" s="136">
        <v>32171.643264009999</v>
      </c>
      <c r="S37" s="136">
        <v>5502.7007553709927</v>
      </c>
      <c r="T37" s="136">
        <f>R37-S37</f>
        <v>26668.942508639007</v>
      </c>
      <c r="U37" s="136">
        <v>33886.489786850012</v>
      </c>
      <c r="V37" s="136">
        <v>5539.3927087185357</v>
      </c>
      <c r="W37" s="136">
        <f>U37-V37</f>
        <v>28347.097078131475</v>
      </c>
      <c r="X37" s="136">
        <v>29705.424840500007</v>
      </c>
      <c r="Y37" s="136">
        <v>5214.5743397828828</v>
      </c>
      <c r="Z37" s="136">
        <f>X37-Y37</f>
        <v>24490.850500717126</v>
      </c>
      <c r="AA37" s="132">
        <v>28179.593560250007</v>
      </c>
      <c r="AB37" s="132">
        <v>25737.400193479996</v>
      </c>
      <c r="AC37" s="132">
        <v>27684.80163743001</v>
      </c>
      <c r="AD37" s="132">
        <v>26173.388868600003</v>
      </c>
      <c r="AE37" s="132">
        <v>26830.463381489997</v>
      </c>
      <c r="AF37" s="137">
        <f>SUM(C37:F37)</f>
        <v>104790.38492377002</v>
      </c>
      <c r="AG37" s="132">
        <f>SUM(G37:J37)</f>
        <v>104342.05102173</v>
      </c>
      <c r="AH37" s="132">
        <f>SUM(K37:N37)</f>
        <v>104716.90545928001</v>
      </c>
      <c r="AI37" s="132">
        <f>SUM(O37,R37,U37,X37)</f>
        <v>126697.98462102003</v>
      </c>
      <c r="AJ37" s="132">
        <f>SUM(P37,S37,V37,Y37)</f>
        <v>21660.944530729976</v>
      </c>
      <c r="AK37" s="132">
        <f>AI37-AJ37</f>
        <v>105037.04009029006</v>
      </c>
      <c r="AL37" s="132">
        <f>SUM(AA37:AD37)</f>
        <v>107775.18425976</v>
      </c>
      <c r="AM37" s="141"/>
    </row>
    <row r="38" spans="2:39" s="82" customFormat="1" x14ac:dyDescent="0.25">
      <c r="B38" s="135" t="s">
        <v>100</v>
      </c>
      <c r="C38" s="143">
        <v>0.37028967997576517</v>
      </c>
      <c r="D38" s="143">
        <v>0.41054143790548897</v>
      </c>
      <c r="E38" s="143">
        <v>0.37871000223030415</v>
      </c>
      <c r="F38" s="143">
        <v>0.37646054113927996</v>
      </c>
      <c r="G38" s="143">
        <f t="shared" ref="G38:R38" si="20">G37/G36</f>
        <v>0.37314140986653321</v>
      </c>
      <c r="H38" s="143">
        <f t="shared" si="20"/>
        <v>0.39360758232687598</v>
      </c>
      <c r="I38" s="143">
        <f t="shared" si="20"/>
        <v>0.38918447651189814</v>
      </c>
      <c r="J38" s="143">
        <f t="shared" si="20"/>
        <v>0.35657077683228544</v>
      </c>
      <c r="K38" s="143">
        <f t="shared" si="20"/>
        <v>0.37986409337626575</v>
      </c>
      <c r="L38" s="143">
        <f t="shared" si="20"/>
        <v>0.37553978862770615</v>
      </c>
      <c r="M38" s="143">
        <f t="shared" si="20"/>
        <v>0.35668932315813495</v>
      </c>
      <c r="N38" s="143">
        <f t="shared" si="20"/>
        <v>0.32800462988381235</v>
      </c>
      <c r="O38" s="143">
        <f t="shared" si="20"/>
        <v>0.44672434507271869</v>
      </c>
      <c r="P38" s="143"/>
      <c r="Q38" s="143">
        <f t="shared" si="20"/>
        <v>0.36868113442927009</v>
      </c>
      <c r="R38" s="143">
        <f t="shared" si="20"/>
        <v>0.44341945625488166</v>
      </c>
      <c r="S38" s="143"/>
      <c r="T38" s="143">
        <f t="shared" ref="T38:U38" si="21">T37/T36</f>
        <v>0.36757612562807673</v>
      </c>
      <c r="U38" s="143">
        <f t="shared" si="21"/>
        <v>0.45369558663906462</v>
      </c>
      <c r="V38" s="143"/>
      <c r="W38" s="143">
        <f t="shared" ref="W38:X38" si="22">W37/W36</f>
        <v>0.37953039453995602</v>
      </c>
      <c r="X38" s="143">
        <f t="shared" si="22"/>
        <v>0.40479486464434122</v>
      </c>
      <c r="Y38" s="143"/>
      <c r="Z38" s="143">
        <f t="shared" ref="Z38:AI38" si="23">Z37/Z36</f>
        <v>0.33373602857705215</v>
      </c>
      <c r="AA38" s="143">
        <f t="shared" si="23"/>
        <v>0.41773914494769765</v>
      </c>
      <c r="AB38" s="143">
        <f t="shared" si="23"/>
        <v>0.39285705386121272</v>
      </c>
      <c r="AC38" s="143">
        <f t="shared" si="23"/>
        <v>0.39788484308840638</v>
      </c>
      <c r="AD38" s="143">
        <f t="shared" si="23"/>
        <v>0.3638743276510788</v>
      </c>
      <c r="AE38" s="143">
        <f t="shared" si="23"/>
        <v>0.39224221262782072</v>
      </c>
      <c r="AF38" s="144">
        <f t="shared" si="23"/>
        <v>0.38384365133473264</v>
      </c>
      <c r="AG38" s="143">
        <f t="shared" si="23"/>
        <v>0.37820605956385522</v>
      </c>
      <c r="AH38" s="143">
        <f t="shared" si="23"/>
        <v>0.35918673092619885</v>
      </c>
      <c r="AI38" s="143">
        <f t="shared" si="23"/>
        <v>0.43707862700735101</v>
      </c>
      <c r="AJ38" s="143"/>
      <c r="AK38" s="143">
        <f t="shared" ref="AK38:AL38" si="24">AK37/AK36</f>
        <v>0.3623533981610263</v>
      </c>
      <c r="AL38" s="143">
        <f t="shared" si="24"/>
        <v>0.3926515530236952</v>
      </c>
      <c r="AM38" s="141"/>
    </row>
    <row r="39" spans="2:39" s="82" customFormat="1" x14ac:dyDescent="0.25">
      <c r="B39" s="135" t="s">
        <v>81</v>
      </c>
      <c r="C39" s="136">
        <v>3551.4016624000001</v>
      </c>
      <c r="D39" s="136">
        <v>7556.211280210001</v>
      </c>
      <c r="E39" s="136">
        <v>9651.6223675400015</v>
      </c>
      <c r="F39" s="136">
        <v>21937.835255330003</v>
      </c>
      <c r="G39" s="136">
        <v>6834.4879097999992</v>
      </c>
      <c r="H39" s="136">
        <v>8087.4340671800001</v>
      </c>
      <c r="I39" s="136">
        <v>11234.080326360001</v>
      </c>
      <c r="J39" s="136">
        <v>13846.838860780001</v>
      </c>
      <c r="K39" s="136">
        <v>9231.9419014100004</v>
      </c>
      <c r="L39" s="136">
        <v>13625.389491889999</v>
      </c>
      <c r="M39" s="136">
        <v>12690.24860264</v>
      </c>
      <c r="N39" s="136">
        <v>12902.76404749</v>
      </c>
      <c r="O39" s="136">
        <v>17736.550716679998</v>
      </c>
      <c r="P39" s="132">
        <v>2480.02425322</v>
      </c>
      <c r="Q39" s="136">
        <f>O39-P39</f>
        <v>15256.526463459999</v>
      </c>
      <c r="R39" s="136">
        <v>19956.769117430002</v>
      </c>
      <c r="S39" s="136">
        <v>4383.2130660799994</v>
      </c>
      <c r="T39" s="136">
        <f>R39-S39</f>
        <v>15573.556051350002</v>
      </c>
      <c r="U39" s="136">
        <v>14823.797592199999</v>
      </c>
      <c r="V39" s="136">
        <v>3672.8392348500006</v>
      </c>
      <c r="W39" s="136">
        <f>U39-V39</f>
        <v>11150.958357349999</v>
      </c>
      <c r="X39" s="136">
        <v>25827.718009159998</v>
      </c>
      <c r="Y39" s="136">
        <v>3606.3292051000003</v>
      </c>
      <c r="Z39" s="136">
        <f>X39-Y39</f>
        <v>22221.38880406</v>
      </c>
      <c r="AA39" s="132">
        <v>12423.030049999999</v>
      </c>
      <c r="AB39" s="132">
        <v>19886.11166377</v>
      </c>
      <c r="AC39" s="132">
        <v>20464.025640020001</v>
      </c>
      <c r="AD39" s="132">
        <v>46942.679054160006</v>
      </c>
      <c r="AE39" s="132">
        <v>21807.297955499998</v>
      </c>
      <c r="AF39" s="137">
        <f>SUM(C39:F39)</f>
        <v>42697.070565480011</v>
      </c>
      <c r="AG39" s="132">
        <f>SUM(G39:J39)</f>
        <v>40002.84116412</v>
      </c>
      <c r="AH39" s="132">
        <f>SUM(K39:N39)</f>
        <v>48450.344043429999</v>
      </c>
      <c r="AI39" s="132">
        <f>SUM(O39,R39,U39,X39)</f>
        <v>78344.835435469999</v>
      </c>
      <c r="AJ39" s="132">
        <f>SUM(P39,S39,V39,Y39)</f>
        <v>14142.405759250001</v>
      </c>
      <c r="AK39" s="132">
        <f>AI39-AJ39</f>
        <v>64202.429676219996</v>
      </c>
      <c r="AL39" s="132">
        <f>SUM(AA39:AD39)</f>
        <v>99715.846407950012</v>
      </c>
      <c r="AM39" s="350"/>
    </row>
    <row r="40" spans="2:39" s="82" customFormat="1" x14ac:dyDescent="0.25">
      <c r="B40" s="135" t="s">
        <v>82</v>
      </c>
      <c r="C40" s="136">
        <v>3181.0728908000001</v>
      </c>
      <c r="D40" s="136">
        <v>7191.1850426700003</v>
      </c>
      <c r="E40" s="136">
        <v>9444.3812982799991</v>
      </c>
      <c r="F40" s="136">
        <v>21614.940564409997</v>
      </c>
      <c r="G40" s="136">
        <v>6694.7243781699999</v>
      </c>
      <c r="H40" s="136">
        <v>7882.0691581800002</v>
      </c>
      <c r="I40" s="136">
        <v>10906.37492993</v>
      </c>
      <c r="J40" s="136">
        <v>13434.820233530001</v>
      </c>
      <c r="K40" s="136">
        <v>9006.9881444799994</v>
      </c>
      <c r="L40" s="136">
        <v>13321.379198619999</v>
      </c>
      <c r="M40" s="136">
        <v>12310.4879246</v>
      </c>
      <c r="N40" s="136">
        <v>11965.63607391</v>
      </c>
      <c r="O40" s="136">
        <v>17465.421423079999</v>
      </c>
      <c r="P40" s="132">
        <f>P39</f>
        <v>2480.02425322</v>
      </c>
      <c r="Q40" s="136">
        <f>O40-P40</f>
        <v>14985.39716986</v>
      </c>
      <c r="R40" s="136">
        <v>19540.656266329999</v>
      </c>
      <c r="S40" s="136">
        <f>S39</f>
        <v>4383.2130660799994</v>
      </c>
      <c r="T40" s="136">
        <f>R40-S40</f>
        <v>15157.44320025</v>
      </c>
      <c r="U40" s="136">
        <v>14647.027491319999</v>
      </c>
      <c r="V40" s="136">
        <f>V39</f>
        <v>3672.8392348500006</v>
      </c>
      <c r="W40" s="136">
        <f>U40-V40</f>
        <v>10974.188256469999</v>
      </c>
      <c r="X40" s="136">
        <v>25407.089599029998</v>
      </c>
      <c r="Y40" s="136">
        <f>Y39</f>
        <v>3606.3292051000003</v>
      </c>
      <c r="Z40" s="136">
        <f>X40-Y40</f>
        <v>21800.760393929999</v>
      </c>
      <c r="AA40" s="132">
        <v>12103.240088480001</v>
      </c>
      <c r="AB40" s="132">
        <v>19558.002752090004</v>
      </c>
      <c r="AC40" s="132">
        <v>20100.390801950001</v>
      </c>
      <c r="AD40" s="132">
        <v>46693.944139179999</v>
      </c>
      <c r="AE40" s="132">
        <v>21570.441170579998</v>
      </c>
      <c r="AF40" s="137">
        <f>SUM(C40:F40)</f>
        <v>41431.579796159996</v>
      </c>
      <c r="AG40" s="132">
        <f>SUM(G40:J40)</f>
        <v>38917.988699809997</v>
      </c>
      <c r="AH40" s="132">
        <f>SUM(K40:N40)</f>
        <v>46604.491341609995</v>
      </c>
      <c r="AI40" s="132">
        <f>SUM(O40,R40,U40,X40)</f>
        <v>77060.194779760001</v>
      </c>
      <c r="AJ40" s="132">
        <f>AJ39</f>
        <v>14142.405759250001</v>
      </c>
      <c r="AK40" s="132">
        <f>AI40-AJ40</f>
        <v>62917.789020509997</v>
      </c>
      <c r="AL40" s="132">
        <f>SUM(AA40:AD40)</f>
        <v>98455.577781700005</v>
      </c>
      <c r="AM40" s="350"/>
    </row>
    <row r="41" spans="2:39" s="82" customFormat="1" x14ac:dyDescent="0.25">
      <c r="B41" s="135" t="s">
        <v>101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2">
        <v>11262.685233120003</v>
      </c>
      <c r="AB41" s="132">
        <v>18365.552885330002</v>
      </c>
      <c r="AC41" s="132">
        <v>16334.339470770001</v>
      </c>
      <c r="AD41" s="132">
        <v>29358.694100000004</v>
      </c>
      <c r="AE41" s="132">
        <v>15026.99546926</v>
      </c>
      <c r="AF41" s="137"/>
      <c r="AG41" s="132"/>
      <c r="AH41" s="132"/>
      <c r="AI41" s="132"/>
      <c r="AJ41" s="132"/>
      <c r="AK41" s="132"/>
      <c r="AL41" s="140">
        <f>SUM(AA41:AD41)</f>
        <v>75321.271689220011</v>
      </c>
      <c r="AM41" s="350"/>
    </row>
    <row r="42" spans="2:39" s="82" customFormat="1" ht="13.5" x14ac:dyDescent="0.25">
      <c r="B42" s="135" t="s">
        <v>156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2">
        <v>10942.8952716</v>
      </c>
      <c r="AB42" s="132">
        <v>18037.443973650003</v>
      </c>
      <c r="AC42" s="132">
        <v>15970.704632700001</v>
      </c>
      <c r="AD42" s="132">
        <v>29109.959185020005</v>
      </c>
      <c r="AE42" s="132">
        <v>14790.13868434</v>
      </c>
      <c r="AF42" s="137"/>
      <c r="AG42" s="132"/>
      <c r="AH42" s="132"/>
      <c r="AI42" s="132"/>
      <c r="AJ42" s="132"/>
      <c r="AK42" s="132"/>
      <c r="AL42" s="140">
        <f>SUM(AA42:AD42)</f>
        <v>74061.003062970005</v>
      </c>
      <c r="AM42" s="350"/>
    </row>
    <row r="43" spans="2:39" s="82" customFormat="1" x14ac:dyDescent="0.25">
      <c r="B43" s="135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7"/>
      <c r="AG43" s="132"/>
      <c r="AH43" s="132"/>
      <c r="AI43" s="132"/>
      <c r="AJ43" s="132"/>
      <c r="AK43" s="132"/>
      <c r="AL43" s="132"/>
      <c r="AM43" s="141"/>
    </row>
    <row r="44" spans="2:39" s="82" customFormat="1" ht="12" thickBot="1" x14ac:dyDescent="0.3">
      <c r="B44" s="147" t="s">
        <v>102</v>
      </c>
      <c r="C44" s="148" t="s">
        <v>92</v>
      </c>
      <c r="D44" s="148" t="s">
        <v>93</v>
      </c>
      <c r="E44" s="148" t="s">
        <v>44</v>
      </c>
      <c r="F44" s="148" t="s">
        <v>45</v>
      </c>
      <c r="G44" s="148" t="s">
        <v>46</v>
      </c>
      <c r="H44" s="148" t="s">
        <v>47</v>
      </c>
      <c r="I44" s="148" t="s">
        <v>48</v>
      </c>
      <c r="J44" s="148" t="s">
        <v>49</v>
      </c>
      <c r="K44" s="148" t="s">
        <v>50</v>
      </c>
      <c r="L44" s="148" t="s">
        <v>51</v>
      </c>
      <c r="M44" s="148" t="s">
        <v>52</v>
      </c>
      <c r="N44" s="148" t="s">
        <v>53</v>
      </c>
      <c r="O44" s="148" t="s">
        <v>54</v>
      </c>
      <c r="P44" s="148" t="s">
        <v>55</v>
      </c>
      <c r="Q44" s="148" t="s">
        <v>54</v>
      </c>
      <c r="R44" s="148" t="s">
        <v>57</v>
      </c>
      <c r="S44" s="148" t="s">
        <v>55</v>
      </c>
      <c r="T44" s="148" t="s">
        <v>57</v>
      </c>
      <c r="U44" s="148" t="s">
        <v>59</v>
      </c>
      <c r="V44" s="148" t="s">
        <v>55</v>
      </c>
      <c r="W44" s="148" t="s">
        <v>59</v>
      </c>
      <c r="X44" s="148" t="s">
        <v>61</v>
      </c>
      <c r="Y44" s="148" t="s">
        <v>55</v>
      </c>
      <c r="Z44" s="148" t="s">
        <v>61</v>
      </c>
      <c r="AA44" s="149" t="s">
        <v>7</v>
      </c>
      <c r="AB44" s="149" t="s">
        <v>63</v>
      </c>
      <c r="AC44" s="149" t="s">
        <v>64</v>
      </c>
      <c r="AD44" s="149" t="s">
        <v>65</v>
      </c>
      <c r="AE44" s="149" t="s">
        <v>6</v>
      </c>
      <c r="AF44" s="150" t="s">
        <v>94</v>
      </c>
      <c r="AG44" s="148" t="s">
        <v>67</v>
      </c>
      <c r="AH44" s="148" t="s">
        <v>68</v>
      </c>
      <c r="AI44" s="148" t="s">
        <v>69</v>
      </c>
      <c r="AJ44" s="148" t="s">
        <v>103</v>
      </c>
      <c r="AK44" s="148" t="s">
        <v>69</v>
      </c>
      <c r="AL44" s="148" t="s">
        <v>71</v>
      </c>
    </row>
    <row r="45" spans="2:39" s="82" customFormat="1" x14ac:dyDescent="0.25">
      <c r="B45" s="135" t="s">
        <v>104</v>
      </c>
      <c r="C45" s="132">
        <v>54586.013972580004</v>
      </c>
      <c r="D45" s="132">
        <v>55536.828125380001</v>
      </c>
      <c r="E45" s="132">
        <v>59044.203721900005</v>
      </c>
      <c r="F45" s="132">
        <v>59275.896174900008</v>
      </c>
      <c r="G45" s="132">
        <v>54822.24169100001</v>
      </c>
      <c r="H45" s="132">
        <v>58490.725152409999</v>
      </c>
      <c r="I45" s="132">
        <v>62417.074687629989</v>
      </c>
      <c r="J45" s="132">
        <v>60770.975461699993</v>
      </c>
      <c r="K45" s="132">
        <v>57452.449506720004</v>
      </c>
      <c r="L45" s="132">
        <v>63576.45392253001</v>
      </c>
      <c r="M45" s="132">
        <v>67975.342249039997</v>
      </c>
      <c r="N45" s="132">
        <v>67004.172465390002</v>
      </c>
      <c r="O45" s="132">
        <v>60707.776092250009</v>
      </c>
      <c r="P45" s="132"/>
      <c r="Q45" s="132">
        <f>O45</f>
        <v>60707.776092250009</v>
      </c>
      <c r="R45" s="132">
        <v>64046.973023170001</v>
      </c>
      <c r="S45" s="132"/>
      <c r="T45" s="132">
        <f>R45</f>
        <v>64046.973023170001</v>
      </c>
      <c r="U45" s="132">
        <v>65844.625840170003</v>
      </c>
      <c r="V45" s="132"/>
      <c r="W45" s="132">
        <f>U45</f>
        <v>65844.625840170003</v>
      </c>
      <c r="X45" s="132">
        <v>64119.731773300002</v>
      </c>
      <c r="Y45" s="132"/>
      <c r="Z45" s="152">
        <f>X45</f>
        <v>64119.731773300002</v>
      </c>
      <c r="AA45" s="132">
        <v>58181.975629389999</v>
      </c>
      <c r="AB45" s="132">
        <v>56226.568191880004</v>
      </c>
      <c r="AC45" s="132">
        <v>59917.082016880006</v>
      </c>
      <c r="AD45" s="132">
        <v>61767.641649680001</v>
      </c>
      <c r="AE45" s="132">
        <v>58350.361513069998</v>
      </c>
      <c r="AF45" s="137">
        <f>SUM(C45:F45)</f>
        <v>228442.94199476001</v>
      </c>
      <c r="AG45" s="132">
        <f>SUM(G45:J45)</f>
        <v>236501.01699274001</v>
      </c>
      <c r="AH45" s="132">
        <f>SUM(K45:N45)</f>
        <v>256008.41814368003</v>
      </c>
      <c r="AI45" s="132">
        <f>SUM(O45,R45,U45,X45)</f>
        <v>254719.10672889001</v>
      </c>
      <c r="AJ45" s="132"/>
      <c r="AK45" s="132">
        <f>AI45</f>
        <v>254719.10672889001</v>
      </c>
      <c r="AL45" s="132">
        <f>SUM(AA45:AD45)</f>
        <v>236093.26748783002</v>
      </c>
      <c r="AM45" s="141"/>
    </row>
    <row r="46" spans="2:39" s="82" customFormat="1" x14ac:dyDescent="0.25">
      <c r="B46" s="135" t="s">
        <v>73</v>
      </c>
      <c r="C46" s="132">
        <v>51834.705506910002</v>
      </c>
      <c r="D46" s="132">
        <v>53729.527913179998</v>
      </c>
      <c r="E46" s="132">
        <v>56783.759425740005</v>
      </c>
      <c r="F46" s="132">
        <v>55844.335837700004</v>
      </c>
      <c r="G46" s="132">
        <v>52347.958368710009</v>
      </c>
      <c r="H46" s="132">
        <v>55674.217121549991</v>
      </c>
      <c r="I46" s="132">
        <v>59163.517622969994</v>
      </c>
      <c r="J46" s="132">
        <v>57000.530920119993</v>
      </c>
      <c r="K46" s="132">
        <v>54282.314936619994</v>
      </c>
      <c r="L46" s="132">
        <v>57609.321519449994</v>
      </c>
      <c r="M46" s="132">
        <v>59470.826990739995</v>
      </c>
      <c r="N46" s="132">
        <v>58761.000349269998</v>
      </c>
      <c r="O46" s="132">
        <v>54933.444712110002</v>
      </c>
      <c r="P46" s="132"/>
      <c r="Q46" s="132">
        <f t="shared" ref="Q46:Q53" si="25">O46</f>
        <v>54933.444712110002</v>
      </c>
      <c r="R46" s="132">
        <v>56992.064292540002</v>
      </c>
      <c r="S46" s="132"/>
      <c r="T46" s="132">
        <f t="shared" ref="T46:T53" si="26">R46</f>
        <v>56992.064292540002</v>
      </c>
      <c r="U46" s="132">
        <v>58320.30262817999</v>
      </c>
      <c r="V46" s="132"/>
      <c r="W46" s="132">
        <f t="shared" ref="W46:W53" si="27">U46</f>
        <v>58320.30262817999</v>
      </c>
      <c r="X46" s="132">
        <v>55309.450482830005</v>
      </c>
      <c r="Y46" s="132"/>
      <c r="Z46" s="132">
        <f t="shared" ref="Z46:Z53" si="28">X46</f>
        <v>55309.450482830005</v>
      </c>
      <c r="AA46" s="132">
        <v>52517.738421000002</v>
      </c>
      <c r="AB46" s="132">
        <v>51424.698978209999</v>
      </c>
      <c r="AC46" s="132">
        <v>52444.64694228</v>
      </c>
      <c r="AD46" s="132">
        <v>53139.927801179998</v>
      </c>
      <c r="AE46" s="132">
        <v>51300.580952600001</v>
      </c>
      <c r="AF46" s="137">
        <f>SUM(C46:F46)</f>
        <v>218192.32868352998</v>
      </c>
      <c r="AG46" s="132">
        <f>SUM(G46:J46)</f>
        <v>224186.22403334998</v>
      </c>
      <c r="AH46" s="132">
        <f>SUM(K46:N46)</f>
        <v>230123.46379607997</v>
      </c>
      <c r="AI46" s="132">
        <f>SUM(O46,R46,U46,X46)</f>
        <v>225555.26211565998</v>
      </c>
      <c r="AJ46" s="132"/>
      <c r="AK46" s="132">
        <f t="shared" ref="AK46:AK49" si="29">AI46</f>
        <v>225555.26211565998</v>
      </c>
      <c r="AL46" s="132">
        <f>SUM(AA46:AD46)</f>
        <v>209527.01214266999</v>
      </c>
      <c r="AM46" s="141"/>
    </row>
    <row r="47" spans="2:39" s="82" customFormat="1" ht="12.75" customHeight="1" x14ac:dyDescent="0.25">
      <c r="B47" s="153" t="s">
        <v>123</v>
      </c>
      <c r="C47" s="132">
        <v>11942.327898959998</v>
      </c>
      <c r="D47" s="132">
        <v>12316.35413575</v>
      </c>
      <c r="E47" s="132">
        <v>13426.014531990002</v>
      </c>
      <c r="F47" s="132">
        <v>14087.866716160001</v>
      </c>
      <c r="G47" s="132">
        <v>13902.766823490001</v>
      </c>
      <c r="H47" s="132">
        <v>14510.066048770001</v>
      </c>
      <c r="I47" s="132">
        <v>15283.799972109997</v>
      </c>
      <c r="J47" s="132">
        <v>15344.45459225</v>
      </c>
      <c r="K47" s="132">
        <v>15138.241221940001</v>
      </c>
      <c r="L47" s="132">
        <v>15416.843458439998</v>
      </c>
      <c r="M47" s="132">
        <v>15748.701050559999</v>
      </c>
      <c r="N47" s="132">
        <v>15954.826279620003</v>
      </c>
      <c r="O47" s="132">
        <v>15021.450248899999</v>
      </c>
      <c r="P47" s="132"/>
      <c r="Q47" s="132">
        <f t="shared" si="25"/>
        <v>15021.450248899999</v>
      </c>
      <c r="R47" s="132">
        <v>15449.666145069999</v>
      </c>
      <c r="S47" s="132"/>
      <c r="T47" s="132">
        <f t="shared" si="26"/>
        <v>15449.666145069999</v>
      </c>
      <c r="U47" s="132">
        <v>16220.398746099998</v>
      </c>
      <c r="V47" s="132"/>
      <c r="W47" s="132">
        <f t="shared" si="27"/>
        <v>16220.398746099998</v>
      </c>
      <c r="X47" s="132">
        <v>16202.923694680001</v>
      </c>
      <c r="Y47" s="132"/>
      <c r="Z47" s="132">
        <f t="shared" si="28"/>
        <v>16202.923694680001</v>
      </c>
      <c r="AA47" s="132">
        <v>16298.0455901</v>
      </c>
      <c r="AB47" s="132">
        <v>16200.767514279998</v>
      </c>
      <c r="AC47" s="132">
        <v>16530.850707660004</v>
      </c>
      <c r="AD47" s="132">
        <v>17041.616490910001</v>
      </c>
      <c r="AE47" s="132">
        <v>16729.176928680001</v>
      </c>
      <c r="AF47" s="137">
        <f>SUM(C47:F47)</f>
        <v>51772.563282860006</v>
      </c>
      <c r="AG47" s="132">
        <f>SUM(G47:J47)</f>
        <v>59041.087436620001</v>
      </c>
      <c r="AH47" s="132">
        <f>SUM(K47:N47)</f>
        <v>62258.612010559998</v>
      </c>
      <c r="AI47" s="132">
        <f>SUM(O47,R47,U47,X47)</f>
        <v>62894.438834749999</v>
      </c>
      <c r="AJ47" s="132"/>
      <c r="AK47" s="132">
        <f t="shared" si="29"/>
        <v>62894.438834749999</v>
      </c>
      <c r="AL47" s="132">
        <f>SUM(AA47:AD47)</f>
        <v>66071.280302950006</v>
      </c>
      <c r="AM47" s="141"/>
    </row>
    <row r="48" spans="2:39" s="82" customFormat="1" x14ac:dyDescent="0.25">
      <c r="B48" s="135" t="s">
        <v>107</v>
      </c>
      <c r="C48" s="154">
        <v>57.664841000000003</v>
      </c>
      <c r="D48" s="154">
        <v>57.545664000000002</v>
      </c>
      <c r="E48" s="154">
        <v>58.440784000000001</v>
      </c>
      <c r="F48" s="154">
        <v>58.307886000000003</v>
      </c>
      <c r="G48" s="154">
        <f>G17</f>
        <v>56.968744000000001</v>
      </c>
      <c r="H48" s="154">
        <f>H17</f>
        <v>58.324680000000001</v>
      </c>
      <c r="I48" s="154">
        <f t="shared" ref="I48:O49" si="30">I17</f>
        <v>58.845224999999999</v>
      </c>
      <c r="J48" s="154">
        <f t="shared" si="30"/>
        <v>58.160443999999998</v>
      </c>
      <c r="K48" s="154">
        <f t="shared" si="30"/>
        <v>56.269533000000003</v>
      </c>
      <c r="L48" s="154">
        <f t="shared" si="30"/>
        <v>56.428289999999997</v>
      </c>
      <c r="M48" s="154">
        <f t="shared" si="30"/>
        <v>56.208658</v>
      </c>
      <c r="N48" s="154">
        <f t="shared" si="30"/>
        <v>55.252583999999999</v>
      </c>
      <c r="O48" s="154">
        <f t="shared" si="30"/>
        <v>54.229596999999998</v>
      </c>
      <c r="P48" s="154"/>
      <c r="Q48" s="154">
        <f t="shared" si="25"/>
        <v>54.229596999999998</v>
      </c>
      <c r="R48" s="154">
        <f>R17</f>
        <v>54.332397</v>
      </c>
      <c r="S48" s="154"/>
      <c r="T48" s="154">
        <f t="shared" si="26"/>
        <v>54.332397</v>
      </c>
      <c r="U48" s="154">
        <f>U17</f>
        <v>54.782978999999997</v>
      </c>
      <c r="V48" s="154"/>
      <c r="W48" s="154">
        <f t="shared" si="27"/>
        <v>54.782978999999997</v>
      </c>
      <c r="X48" s="154">
        <f>X17</f>
        <v>54.648950999999997</v>
      </c>
      <c r="Y48" s="154"/>
      <c r="Z48" s="154">
        <f t="shared" si="28"/>
        <v>54.648950999999997</v>
      </c>
      <c r="AA48" s="154">
        <f t="shared" ref="AA48:AE49" si="31">AA17</f>
        <v>53.487031000000002</v>
      </c>
      <c r="AB48" s="154">
        <f t="shared" si="31"/>
        <v>49.774312999999999</v>
      </c>
      <c r="AC48" s="154">
        <f t="shared" si="31"/>
        <v>49.721111999999998</v>
      </c>
      <c r="AD48" s="154">
        <f t="shared" si="31"/>
        <v>49.878476999999997</v>
      </c>
      <c r="AE48" s="154">
        <f t="shared" si="31"/>
        <v>50.046802</v>
      </c>
      <c r="AF48" s="155">
        <f>F48</f>
        <v>58.307886000000003</v>
      </c>
      <c r="AG48" s="132">
        <f>J48</f>
        <v>58.160443999999998</v>
      </c>
      <c r="AH48" s="132">
        <f>N48</f>
        <v>55.252583999999999</v>
      </c>
      <c r="AI48" s="132">
        <f>X48</f>
        <v>54.648950999999997</v>
      </c>
      <c r="AJ48" s="132"/>
      <c r="AK48" s="132">
        <f t="shared" si="29"/>
        <v>54.648950999999997</v>
      </c>
      <c r="AL48" s="132">
        <f>AD48</f>
        <v>49.878476999999997</v>
      </c>
      <c r="AM48" s="141"/>
    </row>
    <row r="49" spans="2:39" s="82" customFormat="1" x14ac:dyDescent="0.25">
      <c r="B49" s="153" t="s">
        <v>108</v>
      </c>
      <c r="C49" s="154">
        <v>32.550941999999999</v>
      </c>
      <c r="D49" s="154">
        <v>33.747695</v>
      </c>
      <c r="E49" s="154">
        <v>36.156475</v>
      </c>
      <c r="F49" s="154">
        <v>36.608094999999999</v>
      </c>
      <c r="G49" s="154">
        <f>G18</f>
        <v>36.406694000000002</v>
      </c>
      <c r="H49" s="154">
        <f>H18</f>
        <v>38.115071999999998</v>
      </c>
      <c r="I49" s="154">
        <f t="shared" si="30"/>
        <v>39.054777000000001</v>
      </c>
      <c r="J49" s="154">
        <f t="shared" si="30"/>
        <v>38.424190000000003</v>
      </c>
      <c r="K49" s="154">
        <f t="shared" si="30"/>
        <v>36.672454000000002</v>
      </c>
      <c r="L49" s="154">
        <f t="shared" si="30"/>
        <v>36.599527999999999</v>
      </c>
      <c r="M49" s="154">
        <f t="shared" si="30"/>
        <v>37.29712</v>
      </c>
      <c r="N49" s="154">
        <f t="shared" si="30"/>
        <v>36.807291999999997</v>
      </c>
      <c r="O49" s="154">
        <f t="shared" si="30"/>
        <v>35.125919000000003</v>
      </c>
      <c r="P49" s="154"/>
      <c r="Q49" s="154">
        <f t="shared" si="25"/>
        <v>35.125919000000003</v>
      </c>
      <c r="R49" s="154">
        <f>R18</f>
        <v>35.770471000000001</v>
      </c>
      <c r="S49" s="154"/>
      <c r="T49" s="154">
        <f t="shared" si="26"/>
        <v>35.770471000000001</v>
      </c>
      <c r="U49" s="154">
        <f>U18</f>
        <v>36.382024999999999</v>
      </c>
      <c r="V49" s="154"/>
      <c r="W49" s="154">
        <f t="shared" si="27"/>
        <v>36.382024999999999</v>
      </c>
      <c r="X49" s="154">
        <f>X18</f>
        <v>35.542335000000001</v>
      </c>
      <c r="Y49" s="154"/>
      <c r="Z49" s="154">
        <f t="shared" si="28"/>
        <v>35.542335000000001</v>
      </c>
      <c r="AA49" s="154">
        <f t="shared" si="31"/>
        <v>34.363270999999997</v>
      </c>
      <c r="AB49" s="154">
        <f t="shared" si="31"/>
        <v>31.547588999999999</v>
      </c>
      <c r="AC49" s="154">
        <f t="shared" si="31"/>
        <v>32.373823000000002</v>
      </c>
      <c r="AD49" s="154">
        <f t="shared" si="31"/>
        <v>32.911541999999997</v>
      </c>
      <c r="AE49" s="154">
        <f t="shared" si="31"/>
        <v>33.468316000000002</v>
      </c>
      <c r="AF49" s="137">
        <f>F49</f>
        <v>36.608094999999999</v>
      </c>
      <c r="AG49" s="132">
        <f>J49</f>
        <v>38.424190000000003</v>
      </c>
      <c r="AH49" s="132">
        <f>N49</f>
        <v>36.807291999999997</v>
      </c>
      <c r="AI49" s="132">
        <f>X49</f>
        <v>35.542335000000001</v>
      </c>
      <c r="AJ49" s="132"/>
      <c r="AK49" s="132">
        <f t="shared" si="29"/>
        <v>35.542335000000001</v>
      </c>
      <c r="AL49" s="132">
        <f>AD49</f>
        <v>32.911541999999997</v>
      </c>
      <c r="AM49" s="141"/>
    </row>
    <row r="50" spans="2:39" s="82" customFormat="1" x14ac:dyDescent="0.25">
      <c r="B50" s="135" t="s">
        <v>124</v>
      </c>
      <c r="C50" s="132">
        <v>292.53185783543148</v>
      </c>
      <c r="D50" s="132">
        <v>308.79538325814997</v>
      </c>
      <c r="E50" s="132">
        <v>324.06690663929976</v>
      </c>
      <c r="F50" s="132">
        <v>317.23403678009066</v>
      </c>
      <c r="G50" s="132">
        <v>301.84269466465145</v>
      </c>
      <c r="H50" s="132">
        <v>319.99612484333892</v>
      </c>
      <c r="I50" s="132">
        <v>334.36534881387269</v>
      </c>
      <c r="J50" s="132">
        <v>323.51668346536832</v>
      </c>
      <c r="K50" s="132">
        <v>315.09164758205503</v>
      </c>
      <c r="L50" s="132">
        <v>338.01398768752915</v>
      </c>
      <c r="M50" s="132">
        <v>350.13351339911424</v>
      </c>
      <c r="N50" s="132">
        <v>349.88045667007128</v>
      </c>
      <c r="O50" s="132">
        <v>332.94572810455799</v>
      </c>
      <c r="P50" s="132"/>
      <c r="Q50" s="132">
        <f t="shared" si="25"/>
        <v>332.94572810455799</v>
      </c>
      <c r="R50" s="132">
        <v>347.70794748095733</v>
      </c>
      <c r="S50" s="132"/>
      <c r="T50" s="132">
        <f t="shared" si="26"/>
        <v>347.70794748095733</v>
      </c>
      <c r="U50" s="132">
        <v>353.38102192294758</v>
      </c>
      <c r="V50" s="132"/>
      <c r="W50" s="132">
        <f t="shared" si="27"/>
        <v>353.38102192294758</v>
      </c>
      <c r="X50" s="132">
        <v>335.28366044139642</v>
      </c>
      <c r="Y50" s="132"/>
      <c r="Z50" s="132">
        <f t="shared" si="28"/>
        <v>335.28366044139642</v>
      </c>
      <c r="AA50" s="132">
        <v>323.17426078385881</v>
      </c>
      <c r="AB50" s="132">
        <v>331.69937015985374</v>
      </c>
      <c r="AC50" s="132">
        <v>350.40844304127558</v>
      </c>
      <c r="AD50" s="132">
        <v>353.03065754504934</v>
      </c>
      <c r="AE50" s="132">
        <v>340.35940602691073</v>
      </c>
      <c r="AF50" s="137" t="s">
        <v>110</v>
      </c>
      <c r="AG50" s="132" t="s">
        <v>110</v>
      </c>
      <c r="AH50" s="132" t="s">
        <v>110</v>
      </c>
      <c r="AI50" s="132" t="s">
        <v>110</v>
      </c>
      <c r="AJ50" s="132"/>
      <c r="AK50" s="132" t="s">
        <v>110</v>
      </c>
      <c r="AL50" s="132" t="s">
        <v>110</v>
      </c>
      <c r="AM50" s="141"/>
    </row>
    <row r="51" spans="2:39" s="82" customFormat="1" x14ac:dyDescent="0.25">
      <c r="B51" s="135" t="s">
        <v>125</v>
      </c>
      <c r="C51" s="132">
        <v>314.81847618798759</v>
      </c>
      <c r="D51" s="132">
        <v>337.05062232596407</v>
      </c>
      <c r="E51" s="132">
        <v>336.32242061400802</v>
      </c>
      <c r="F51" s="132">
        <v>334.96836614717938</v>
      </c>
      <c r="G51" s="132">
        <f t="shared" ref="G51:O53" si="32">G20</f>
        <v>323.75132505395737</v>
      </c>
      <c r="H51" s="132">
        <f t="shared" si="32"/>
        <v>337.70977385247124</v>
      </c>
      <c r="I51" s="132">
        <f t="shared" si="32"/>
        <v>325.32124606898742</v>
      </c>
      <c r="J51" s="132">
        <f t="shared" si="32"/>
        <v>322.88387568363316</v>
      </c>
      <c r="K51" s="132">
        <f t="shared" si="32"/>
        <v>307.19828189596291</v>
      </c>
      <c r="L51" s="132">
        <f t="shared" si="32"/>
        <v>323.43336611205581</v>
      </c>
      <c r="M51" s="132">
        <f t="shared" si="32"/>
        <v>315.12170270768098</v>
      </c>
      <c r="N51" s="132">
        <f t="shared" si="32"/>
        <v>317.00056928378774</v>
      </c>
      <c r="O51" s="132">
        <f t="shared" si="32"/>
        <v>296.94227727696585</v>
      </c>
      <c r="P51" s="132"/>
      <c r="Q51" s="132">
        <f t="shared" si="25"/>
        <v>296.94227727696585</v>
      </c>
      <c r="R51" s="132">
        <f>R20</f>
        <v>304.60532751095241</v>
      </c>
      <c r="S51" s="132"/>
      <c r="T51" s="132">
        <f t="shared" si="26"/>
        <v>304.60532751095241</v>
      </c>
      <c r="U51" s="132">
        <f>U20</f>
        <v>294.20119302858188</v>
      </c>
      <c r="V51" s="132"/>
      <c r="W51" s="132">
        <f t="shared" si="27"/>
        <v>294.20119302858188</v>
      </c>
      <c r="X51" s="132">
        <f>X20</f>
        <v>291.3439870611067</v>
      </c>
      <c r="Y51" s="132"/>
      <c r="Z51" s="132">
        <f t="shared" si="28"/>
        <v>291.3439870611067</v>
      </c>
      <c r="AA51" s="132">
        <f t="shared" ref="AA51:AI53" si="33">AA20</f>
        <v>284.4604666048055</v>
      </c>
      <c r="AB51" s="132">
        <f t="shared" si="33"/>
        <v>320.70141797035308</v>
      </c>
      <c r="AC51" s="132">
        <f t="shared" si="33"/>
        <v>326.8097815956458</v>
      </c>
      <c r="AD51" s="132">
        <f t="shared" si="33"/>
        <v>339.65205217500426</v>
      </c>
      <c r="AE51" s="132">
        <f t="shared" si="33"/>
        <v>311.12860239168998</v>
      </c>
      <c r="AF51" s="137" t="str">
        <f t="shared" si="33"/>
        <v>n.a.</v>
      </c>
      <c r="AG51" s="132" t="str">
        <f t="shared" si="33"/>
        <v>n.a.</v>
      </c>
      <c r="AH51" s="132" t="str">
        <f t="shared" si="33"/>
        <v>n.a.</v>
      </c>
      <c r="AI51" s="132" t="str">
        <f t="shared" si="33"/>
        <v>n.a.</v>
      </c>
      <c r="AJ51" s="132"/>
      <c r="AK51" s="132" t="str">
        <f t="shared" ref="AK51:AL53" si="34">AK20</f>
        <v>n.a.</v>
      </c>
      <c r="AL51" s="132" t="str">
        <f t="shared" si="34"/>
        <v>n.a.</v>
      </c>
      <c r="AM51" s="141"/>
    </row>
    <row r="52" spans="2:39" s="82" customFormat="1" x14ac:dyDescent="0.25">
      <c r="B52" s="159" t="s">
        <v>126</v>
      </c>
      <c r="C52" s="160">
        <v>0.16000267502201768</v>
      </c>
      <c r="D52" s="160">
        <v>0.14078216218217254</v>
      </c>
      <c r="E52" s="160">
        <v>0.13724941382807068</v>
      </c>
      <c r="F52" s="160">
        <v>0.15039928077981532</v>
      </c>
      <c r="G52" s="160">
        <f t="shared" si="32"/>
        <v>0.16022546807622673</v>
      </c>
      <c r="H52" s="160">
        <f t="shared" si="32"/>
        <v>0.13329667440529827</v>
      </c>
      <c r="I52" s="160">
        <f t="shared" si="32"/>
        <v>0.14857221229290918</v>
      </c>
      <c r="J52" s="160">
        <f t="shared" si="32"/>
        <v>0.14628152760700852</v>
      </c>
      <c r="K52" s="160">
        <f t="shared" si="32"/>
        <v>0.14189381511454818</v>
      </c>
      <c r="L52" s="160">
        <f t="shared" si="32"/>
        <v>0.1104063208035527</v>
      </c>
      <c r="M52" s="160">
        <f t="shared" si="32"/>
        <v>0.12107288276312317</v>
      </c>
      <c r="N52" s="160">
        <f t="shared" si="32"/>
        <v>0.13684171938439371</v>
      </c>
      <c r="O52" s="160">
        <f t="shared" si="32"/>
        <v>0.12999773908413462</v>
      </c>
      <c r="P52" s="160"/>
      <c r="Q52" s="160">
        <f t="shared" si="25"/>
        <v>0.12999773908413462</v>
      </c>
      <c r="R52" s="160">
        <f>R21</f>
        <v>0.11970465465105587</v>
      </c>
      <c r="S52" s="160"/>
      <c r="T52" s="160">
        <f t="shared" si="26"/>
        <v>0.11970465465105587</v>
      </c>
      <c r="U52" s="160">
        <f>U21</f>
        <v>0.12093192072215377</v>
      </c>
      <c r="V52" s="160"/>
      <c r="W52" s="160">
        <f t="shared" si="27"/>
        <v>0.12093192072215377</v>
      </c>
      <c r="X52" s="160">
        <f>X21</f>
        <v>0.12838888978746879</v>
      </c>
      <c r="Y52" s="160"/>
      <c r="Z52" s="160">
        <f t="shared" si="28"/>
        <v>0.12838888978746879</v>
      </c>
      <c r="AA52" s="160">
        <f t="shared" si="33"/>
        <v>0.12690447477510308</v>
      </c>
      <c r="AB52" s="160">
        <f t="shared" si="33"/>
        <v>0.13813992194407232</v>
      </c>
      <c r="AC52" s="160">
        <f t="shared" si="33"/>
        <v>9.5061938777587007E-2</v>
      </c>
      <c r="AD52" s="160">
        <f t="shared" si="33"/>
        <v>0.105580706771983</v>
      </c>
      <c r="AE52" s="160">
        <f t="shared" si="33"/>
        <v>0.10031988841622969</v>
      </c>
      <c r="AF52" s="137" t="str">
        <f t="shared" si="33"/>
        <v>n.a.</v>
      </c>
      <c r="AG52" s="132" t="str">
        <f t="shared" si="33"/>
        <v>n.a.</v>
      </c>
      <c r="AH52" s="132" t="str">
        <f t="shared" si="33"/>
        <v>n.a.</v>
      </c>
      <c r="AI52" s="132" t="str">
        <f t="shared" si="33"/>
        <v>n.a.</v>
      </c>
      <c r="AJ52" s="132"/>
      <c r="AK52" s="132" t="str">
        <f t="shared" si="34"/>
        <v>n.a.</v>
      </c>
      <c r="AL52" s="132" t="str">
        <f t="shared" si="34"/>
        <v>n.a.</v>
      </c>
      <c r="AM52" s="141"/>
    </row>
    <row r="53" spans="2:39" s="82" customFormat="1" x14ac:dyDescent="0.25">
      <c r="B53" s="159" t="s">
        <v>127</v>
      </c>
      <c r="C53" s="132">
        <v>1930.9855221453806</v>
      </c>
      <c r="D53" s="132">
        <v>1906.1468152348916</v>
      </c>
      <c r="E53" s="132">
        <v>2036.8588521983704</v>
      </c>
      <c r="F53" s="132">
        <v>2308.0193021959117</v>
      </c>
      <c r="G53" s="132">
        <f t="shared" si="32"/>
        <v>2564.8298134024485</v>
      </c>
      <c r="H53" s="132">
        <f t="shared" si="32"/>
        <v>2716.4409307940728</v>
      </c>
      <c r="I53" s="132">
        <f t="shared" si="32"/>
        <v>2816.1863236971913</v>
      </c>
      <c r="J53" s="132">
        <f t="shared" si="32"/>
        <v>3046.629915724046</v>
      </c>
      <c r="K53" s="132">
        <f t="shared" si="32"/>
        <v>3233.6462231751616</v>
      </c>
      <c r="L53" s="132">
        <f t="shared" si="32"/>
        <v>3454.3352008880975</v>
      </c>
      <c r="M53" s="132">
        <f t="shared" si="32"/>
        <v>3772.7898540796486</v>
      </c>
      <c r="N53" s="132">
        <f t="shared" si="32"/>
        <v>4284.933903984821</v>
      </c>
      <c r="O53" s="132">
        <f t="shared" si="32"/>
        <v>4697.0999665612753</v>
      </c>
      <c r="P53" s="132"/>
      <c r="Q53" s="132">
        <f t="shared" si="25"/>
        <v>4697.0999665612753</v>
      </c>
      <c r="R53" s="132">
        <f>R22</f>
        <v>5046.0328424742047</v>
      </c>
      <c r="S53" s="132"/>
      <c r="T53" s="132">
        <f t="shared" si="26"/>
        <v>5046.0328424742047</v>
      </c>
      <c r="U53" s="132">
        <f>U22</f>
        <v>5759.3165936994837</v>
      </c>
      <c r="V53" s="132"/>
      <c r="W53" s="132">
        <f t="shared" si="27"/>
        <v>5759.3165936994837</v>
      </c>
      <c r="X53" s="132">
        <f>X22</f>
        <v>6667.0138914935242</v>
      </c>
      <c r="Y53" s="132"/>
      <c r="Z53" s="132">
        <f t="shared" si="28"/>
        <v>6667.0138914935242</v>
      </c>
      <c r="AA53" s="132">
        <f t="shared" si="33"/>
        <v>7539.3522540507729</v>
      </c>
      <c r="AB53" s="132">
        <f t="shared" si="33"/>
        <v>8244.2250606336875</v>
      </c>
      <c r="AC53" s="132">
        <f t="shared" si="33"/>
        <v>9355.2068063499155</v>
      </c>
      <c r="AD53" s="132">
        <f t="shared" si="33"/>
        <v>10870.42708315325</v>
      </c>
      <c r="AE53" s="132">
        <f t="shared" si="33"/>
        <v>12269.124546717712</v>
      </c>
      <c r="AF53" s="137" t="str">
        <f t="shared" si="33"/>
        <v>n.a.</v>
      </c>
      <c r="AG53" s="132" t="str">
        <f t="shared" si="33"/>
        <v>n.a.</v>
      </c>
      <c r="AH53" s="132" t="str">
        <f t="shared" si="33"/>
        <v>n.a.</v>
      </c>
      <c r="AI53" s="132" t="str">
        <f t="shared" si="33"/>
        <v>n.a.</v>
      </c>
      <c r="AJ53" s="132"/>
      <c r="AK53" s="132" t="str">
        <f t="shared" si="34"/>
        <v>n.a.</v>
      </c>
      <c r="AL53" s="132" t="str">
        <f t="shared" si="34"/>
        <v>n.a.</v>
      </c>
      <c r="AM53" s="141"/>
    </row>
    <row r="54" spans="2:39" s="82" customFormat="1" x14ac:dyDescent="0.25"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4"/>
      <c r="AG54" s="163"/>
      <c r="AH54" s="163"/>
      <c r="AI54" s="163"/>
      <c r="AJ54" s="163"/>
      <c r="AK54" s="163"/>
      <c r="AL54" s="163"/>
      <c r="AM54" s="141"/>
    </row>
    <row r="55" spans="2:39" s="82" customFormat="1" ht="12" thickBot="1" x14ac:dyDescent="0.3">
      <c r="B55" s="147" t="s">
        <v>114</v>
      </c>
      <c r="C55" s="148" t="s">
        <v>92</v>
      </c>
      <c r="D55" s="148" t="s">
        <v>93</v>
      </c>
      <c r="E55" s="148" t="s">
        <v>44</v>
      </c>
      <c r="F55" s="148" t="s">
        <v>45</v>
      </c>
      <c r="G55" s="148" t="s">
        <v>46</v>
      </c>
      <c r="H55" s="148" t="s">
        <v>47</v>
      </c>
      <c r="I55" s="148" t="s">
        <v>48</v>
      </c>
      <c r="J55" s="148" t="s">
        <v>49</v>
      </c>
      <c r="K55" s="148" t="s">
        <v>50</v>
      </c>
      <c r="L55" s="148" t="s">
        <v>51</v>
      </c>
      <c r="M55" s="148" t="s">
        <v>52</v>
      </c>
      <c r="N55" s="148" t="s">
        <v>53</v>
      </c>
      <c r="O55" s="148" t="s">
        <v>54</v>
      </c>
      <c r="P55" s="148" t="s">
        <v>55</v>
      </c>
      <c r="Q55" s="148" t="s">
        <v>54</v>
      </c>
      <c r="R55" s="148" t="s">
        <v>57</v>
      </c>
      <c r="S55" s="148" t="s">
        <v>55</v>
      </c>
      <c r="T55" s="148" t="s">
        <v>57</v>
      </c>
      <c r="U55" s="148" t="s">
        <v>59</v>
      </c>
      <c r="V55" s="148" t="s">
        <v>55</v>
      </c>
      <c r="W55" s="148" t="s">
        <v>59</v>
      </c>
      <c r="X55" s="148" t="s">
        <v>61</v>
      </c>
      <c r="Y55" s="148" t="s">
        <v>55</v>
      </c>
      <c r="Z55" s="148" t="s">
        <v>61</v>
      </c>
      <c r="AA55" s="149" t="s">
        <v>7</v>
      </c>
      <c r="AB55" s="149" t="s">
        <v>63</v>
      </c>
      <c r="AC55" s="149" t="s">
        <v>64</v>
      </c>
      <c r="AD55" s="149" t="s">
        <v>65</v>
      </c>
      <c r="AE55" s="149" t="s">
        <v>6</v>
      </c>
      <c r="AF55" s="150" t="s">
        <v>94</v>
      </c>
      <c r="AG55" s="148" t="s">
        <v>67</v>
      </c>
      <c r="AH55" s="148" t="s">
        <v>68</v>
      </c>
      <c r="AI55" s="148" t="s">
        <v>69</v>
      </c>
      <c r="AJ55" s="148" t="s">
        <v>103</v>
      </c>
      <c r="AK55" s="148" t="s">
        <v>69</v>
      </c>
      <c r="AL55" s="148" t="s">
        <v>71</v>
      </c>
    </row>
    <row r="56" spans="2:39" s="82" customFormat="1" x14ac:dyDescent="0.25">
      <c r="B56" s="135" t="s">
        <v>72</v>
      </c>
      <c r="C56" s="132">
        <v>11334.98782452</v>
      </c>
      <c r="D56" s="132">
        <v>10885.88537383</v>
      </c>
      <c r="E56" s="132">
        <v>11485.283045689999</v>
      </c>
      <c r="F56" s="132">
        <v>10853.68442903</v>
      </c>
      <c r="G56" s="132">
        <v>9684.5478587300004</v>
      </c>
      <c r="H56" s="132">
        <v>9915.8355659999997</v>
      </c>
      <c r="I56" s="132">
        <v>10141.68545443</v>
      </c>
      <c r="J56" s="132">
        <v>9643.6916748600015</v>
      </c>
      <c r="K56" s="132">
        <v>8898.7220257900008</v>
      </c>
      <c r="L56" s="132">
        <v>8965.8621760900005</v>
      </c>
      <c r="M56" s="132">
        <v>8774.6106551099983</v>
      </c>
      <c r="N56" s="132">
        <v>8891.2898681999995</v>
      </c>
      <c r="O56" s="132">
        <v>8539.4612048899999</v>
      </c>
      <c r="P56" s="132"/>
      <c r="Q56" s="152">
        <f>O56</f>
        <v>8539.4612048899999</v>
      </c>
      <c r="R56" s="132">
        <v>8506.5489529100014</v>
      </c>
      <c r="S56" s="132"/>
      <c r="T56" s="132">
        <f>R56</f>
        <v>8506.5489529100014</v>
      </c>
      <c r="U56" s="132">
        <v>8845.3001471600001</v>
      </c>
      <c r="V56" s="132"/>
      <c r="W56" s="132">
        <f>U56</f>
        <v>8845.3001471600001</v>
      </c>
      <c r="X56" s="132">
        <v>9264.1656894299977</v>
      </c>
      <c r="Y56" s="132"/>
      <c r="Z56" s="132">
        <f>X56</f>
        <v>9264.1656894299977</v>
      </c>
      <c r="AA56" s="132">
        <v>9275.4171025699998</v>
      </c>
      <c r="AB56" s="132">
        <v>9286.8289598799984</v>
      </c>
      <c r="AC56" s="132">
        <v>9662.8532793199993</v>
      </c>
      <c r="AD56" s="132">
        <v>10162.106836719999</v>
      </c>
      <c r="AE56" s="132">
        <v>10052.432775029998</v>
      </c>
      <c r="AF56" s="182">
        <f t="shared" ref="AF56:AF58" si="35">SUM(C56:F56)</f>
        <v>44559.840673070001</v>
      </c>
      <c r="AG56" s="132">
        <f>SUM(G56:J56)</f>
        <v>39385.760554020002</v>
      </c>
      <c r="AH56" s="132">
        <f>SUM(K56:N56)</f>
        <v>35530.484725189999</v>
      </c>
      <c r="AI56" s="132">
        <f t="shared" ref="AI56:AI58" si="36">SUM(O56,R56,U56,X56)</f>
        <v>35155.475994389999</v>
      </c>
      <c r="AJ56" s="132"/>
      <c r="AK56" s="132">
        <f>AI56</f>
        <v>35155.475994389999</v>
      </c>
      <c r="AL56" s="132">
        <f>SUM(AA56:AD56)</f>
        <v>38387.20617849</v>
      </c>
      <c r="AM56" s="141"/>
    </row>
    <row r="57" spans="2:39" s="82" customFormat="1" x14ac:dyDescent="0.25">
      <c r="B57" s="135" t="s">
        <v>73</v>
      </c>
      <c r="C57" s="132">
        <v>11270.94223205</v>
      </c>
      <c r="D57" s="132">
        <v>10847.834061799998</v>
      </c>
      <c r="E57" s="132">
        <v>11458.907877099999</v>
      </c>
      <c r="F57" s="132">
        <v>10839.842662200001</v>
      </c>
      <c r="G57" s="132">
        <v>9660.4015559199997</v>
      </c>
      <c r="H57" s="132">
        <v>9888.8622213399995</v>
      </c>
      <c r="I57" s="132">
        <v>10113.97702635</v>
      </c>
      <c r="J57" s="132">
        <v>9607.6035008800009</v>
      </c>
      <c r="K57" s="132">
        <v>8867.0430099799996</v>
      </c>
      <c r="L57" s="132">
        <v>8901.0981589900002</v>
      </c>
      <c r="M57" s="132">
        <v>8736.98729465</v>
      </c>
      <c r="N57" s="132">
        <v>8789.5873961199995</v>
      </c>
      <c r="O57" s="132">
        <v>8502.2283141299995</v>
      </c>
      <c r="P57" s="132"/>
      <c r="Q57" s="132">
        <f t="shared" ref="Q57:Q63" si="37">O57</f>
        <v>8502.2283141299995</v>
      </c>
      <c r="R57" s="132">
        <v>8464.6749480199996</v>
      </c>
      <c r="S57" s="132"/>
      <c r="T57" s="132">
        <f t="shared" ref="T57:T63" si="38">R57</f>
        <v>8464.6749480199996</v>
      </c>
      <c r="U57" s="132">
        <v>8766.6869436599991</v>
      </c>
      <c r="V57" s="132"/>
      <c r="W57" s="132">
        <f t="shared" ref="W57:W63" si="39">U57</f>
        <v>8766.6869436599991</v>
      </c>
      <c r="X57" s="132">
        <v>9115.9513719799997</v>
      </c>
      <c r="Y57" s="132"/>
      <c r="Z57" s="132">
        <f t="shared" ref="Z57:Z63" si="40">X57</f>
        <v>9115.9513719799997</v>
      </c>
      <c r="AA57" s="132">
        <v>9111.973855010001</v>
      </c>
      <c r="AB57" s="132">
        <v>9219.7823028499988</v>
      </c>
      <c r="AC57" s="132">
        <v>9552.2076171600002</v>
      </c>
      <c r="AD57" s="132">
        <v>9773.1787018800005</v>
      </c>
      <c r="AE57" s="132">
        <v>9741.4643357099994</v>
      </c>
      <c r="AF57" s="182">
        <f t="shared" si="35"/>
        <v>44417.526833149997</v>
      </c>
      <c r="AG57" s="132">
        <f>SUM(G57:J57)</f>
        <v>39270.844304489998</v>
      </c>
      <c r="AH57" s="132">
        <f>SUM(K57:N57)</f>
        <v>35294.715859739998</v>
      </c>
      <c r="AI57" s="132">
        <f t="shared" si="36"/>
        <v>34849.541577789998</v>
      </c>
      <c r="AJ57" s="132"/>
      <c r="AK57" s="132">
        <f t="shared" ref="AK57:AK59" si="41">AI57</f>
        <v>34849.541577789998</v>
      </c>
      <c r="AL57" s="132">
        <f>SUM(AA57:AD57)</f>
        <v>37657.1424769</v>
      </c>
      <c r="AM57" s="141"/>
    </row>
    <row r="58" spans="2:39" s="82" customFormat="1" x14ac:dyDescent="0.25">
      <c r="B58" s="153" t="s">
        <v>115</v>
      </c>
      <c r="C58" s="132">
        <v>3060.713889323375</v>
      </c>
      <c r="D58" s="132">
        <v>2941.4978444585445</v>
      </c>
      <c r="E58" s="132">
        <v>2806.0129847544422</v>
      </c>
      <c r="F58" s="132">
        <v>2807.1641835242353</v>
      </c>
      <c r="G58" s="132">
        <v>2650.3464197400317</v>
      </c>
      <c r="H58" s="132">
        <v>2578.8826942428882</v>
      </c>
      <c r="I58" s="132">
        <v>2531.6987015300847</v>
      </c>
      <c r="J58" s="132">
        <v>2507.58</v>
      </c>
      <c r="K58" s="132">
        <v>2559.8429226461626</v>
      </c>
      <c r="L58" s="132">
        <v>2547.0404797648016</v>
      </c>
      <c r="M58" s="132">
        <v>2532.1296854677339</v>
      </c>
      <c r="N58" s="132">
        <v>2700.3526987498262</v>
      </c>
      <c r="O58" s="132">
        <v>2661.1144146477677</v>
      </c>
      <c r="P58" s="132"/>
      <c r="Q58" s="132">
        <f t="shared" si="37"/>
        <v>2661.1144146477677</v>
      </c>
      <c r="R58" s="132">
        <v>2710.869785393149</v>
      </c>
      <c r="S58" s="132"/>
      <c r="T58" s="132">
        <f t="shared" si="38"/>
        <v>2710.869785393149</v>
      </c>
      <c r="U58" s="132">
        <v>2728.0826133596111</v>
      </c>
      <c r="V58" s="132"/>
      <c r="W58" s="132">
        <f t="shared" si="39"/>
        <v>2728.0826133596111</v>
      </c>
      <c r="X58" s="132">
        <v>2837.3298340327701</v>
      </c>
      <c r="Y58" s="132"/>
      <c r="Z58" s="132">
        <f t="shared" si="40"/>
        <v>2837.3298340327701</v>
      </c>
      <c r="AA58" s="132">
        <v>2825.7192671781877</v>
      </c>
      <c r="AB58" s="132">
        <v>2701.3361179400358</v>
      </c>
      <c r="AC58" s="132">
        <v>2831.333801809018</v>
      </c>
      <c r="AD58" s="132">
        <v>2948.0869259962642</v>
      </c>
      <c r="AE58" s="132">
        <v>2923.3540695563361</v>
      </c>
      <c r="AF58" s="182">
        <f t="shared" si="35"/>
        <v>11615.388902060598</v>
      </c>
      <c r="AG58" s="132">
        <f>SUM(G58:J58)</f>
        <v>10268.507815513003</v>
      </c>
      <c r="AH58" s="132">
        <f>SUM(K58:N58)+1</f>
        <v>10340.365786628525</v>
      </c>
      <c r="AI58" s="132">
        <f t="shared" si="36"/>
        <v>10937.396647433299</v>
      </c>
      <c r="AJ58" s="132"/>
      <c r="AK58" s="132">
        <f t="shared" si="41"/>
        <v>10937.396647433299</v>
      </c>
      <c r="AL58" s="132">
        <f>SUM(AA58:AD58)</f>
        <v>11306.476112923505</v>
      </c>
      <c r="AM58" s="141"/>
    </row>
    <row r="59" spans="2:39" s="82" customFormat="1" x14ac:dyDescent="0.25">
      <c r="B59" s="153" t="s">
        <v>116</v>
      </c>
      <c r="C59" s="154">
        <v>2.1892230000000001</v>
      </c>
      <c r="D59" s="154">
        <v>2.1527750000000001</v>
      </c>
      <c r="E59" s="154">
        <v>2.1330550000000001</v>
      </c>
      <c r="F59" s="154">
        <v>2.1701350000000001</v>
      </c>
      <c r="G59" s="154">
        <f t="shared" ref="G59:J59" si="42">G28</f>
        <v>2.189832</v>
      </c>
      <c r="H59" s="154">
        <f t="shared" si="42"/>
        <v>2.1958199999999999</v>
      </c>
      <c r="I59" s="154">
        <f t="shared" si="42"/>
        <v>2.2005140000000001</v>
      </c>
      <c r="J59" s="154">
        <f t="shared" si="42"/>
        <v>2.2406549999999998</v>
      </c>
      <c r="K59" s="154">
        <v>2.2622420000000001</v>
      </c>
      <c r="L59" s="154">
        <v>2.2869860000000002</v>
      </c>
      <c r="M59" s="154">
        <v>2.3198120000000002</v>
      </c>
      <c r="N59" s="154">
        <v>2.409484</v>
      </c>
      <c r="O59" s="154">
        <v>2.4581430000000002</v>
      </c>
      <c r="P59" s="154"/>
      <c r="Q59" s="154">
        <f t="shared" si="37"/>
        <v>2.4581430000000002</v>
      </c>
      <c r="R59" s="154">
        <v>2.4933169999999998</v>
      </c>
      <c r="S59" s="154"/>
      <c r="T59" s="154">
        <f t="shared" si="38"/>
        <v>2.4933169999999998</v>
      </c>
      <c r="U59" s="154">
        <v>2.5492750000000002</v>
      </c>
      <c r="V59" s="154"/>
      <c r="W59" s="154">
        <f t="shared" si="39"/>
        <v>2.5492750000000002</v>
      </c>
      <c r="X59" s="154">
        <v>2.6256550000000001</v>
      </c>
      <c r="Y59" s="154"/>
      <c r="Z59" s="154">
        <f t="shared" si="40"/>
        <v>2.6256550000000001</v>
      </c>
      <c r="AA59" s="154">
        <v>2.666846</v>
      </c>
      <c r="AB59" s="154">
        <v>2.6896879999999999</v>
      </c>
      <c r="AC59" s="154">
        <v>2.7749220000000001</v>
      </c>
      <c r="AD59" s="154">
        <v>2.8403909999999999</v>
      </c>
      <c r="AE59" s="154">
        <v>2.8552390000000001</v>
      </c>
      <c r="AF59" s="155">
        <f>F59</f>
        <v>2.1701350000000001</v>
      </c>
      <c r="AG59" s="154">
        <f>J59</f>
        <v>2.2406549999999998</v>
      </c>
      <c r="AH59" s="154">
        <f>N59</f>
        <v>2.409484</v>
      </c>
      <c r="AI59" s="154">
        <f>X59</f>
        <v>2.6256550000000001</v>
      </c>
      <c r="AJ59" s="154"/>
      <c r="AK59" s="154">
        <f t="shared" si="41"/>
        <v>2.6256550000000001</v>
      </c>
      <c r="AL59" s="154">
        <f>AD59</f>
        <v>2.8403909999999999</v>
      </c>
      <c r="AM59" s="141"/>
    </row>
    <row r="60" spans="2:39" s="82" customFormat="1" x14ac:dyDescent="0.25">
      <c r="B60" s="153" t="s">
        <v>128</v>
      </c>
      <c r="C60" s="132">
        <v>463.27346380420977</v>
      </c>
      <c r="D60" s="132">
        <v>451.63506822719933</v>
      </c>
      <c r="E60" s="132">
        <v>436.47912380323714</v>
      </c>
      <c r="F60" s="132">
        <v>434.89662065029819</v>
      </c>
      <c r="G60" s="132">
        <f t="shared" ref="G60:J60" si="43">G58/((G59+F59)/2)/3</f>
        <v>405.25481343322576</v>
      </c>
      <c r="H60" s="132">
        <f>H58/((H59+G59)/2)/3</f>
        <v>392.01813766693272</v>
      </c>
      <c r="I60" s="132">
        <f t="shared" si="43"/>
        <v>383.91057966783006</v>
      </c>
      <c r="J60" s="132">
        <f t="shared" si="43"/>
        <v>376.41440800834192</v>
      </c>
      <c r="K60" s="132">
        <v>378.99200191138601</v>
      </c>
      <c r="L60" s="132">
        <v>373.25607476914053</v>
      </c>
      <c r="M60" s="132">
        <v>366.43379131850128</v>
      </c>
      <c r="N60" s="132">
        <v>380.6560495473077</v>
      </c>
      <c r="O60" s="132">
        <v>364.46430189327265</v>
      </c>
      <c r="P60" s="132"/>
      <c r="Q60" s="132">
        <f t="shared" si="37"/>
        <v>364.46430189327265</v>
      </c>
      <c r="R60" s="132">
        <v>364.99265339827701</v>
      </c>
      <c r="S60" s="132"/>
      <c r="T60" s="132">
        <f t="shared" si="38"/>
        <v>364.99265339827701</v>
      </c>
      <c r="U60" s="132">
        <v>360.67200008244578</v>
      </c>
      <c r="V60" s="132"/>
      <c r="W60" s="132">
        <f t="shared" si="39"/>
        <v>360.67200008244578</v>
      </c>
      <c r="X60" s="132">
        <v>365.522475219667</v>
      </c>
      <c r="Y60" s="132"/>
      <c r="Z60" s="132">
        <f t="shared" si="40"/>
        <v>365.522475219667</v>
      </c>
      <c r="AA60" s="132">
        <v>355.940007339717</v>
      </c>
      <c r="AB60" s="132">
        <v>336.204483214959</v>
      </c>
      <c r="AC60" s="132">
        <v>345.41456167460802</v>
      </c>
      <c r="AD60" s="132">
        <v>350.00565133190401</v>
      </c>
      <c r="AE60" s="132">
        <v>342.17509090962</v>
      </c>
      <c r="AF60" s="137" t="s">
        <v>110</v>
      </c>
      <c r="AG60" s="132" t="s">
        <v>110</v>
      </c>
      <c r="AH60" s="132" t="s">
        <v>110</v>
      </c>
      <c r="AI60" s="132" t="s">
        <v>110</v>
      </c>
      <c r="AJ60" s="132"/>
      <c r="AK60" s="132" t="s">
        <v>110</v>
      </c>
      <c r="AL60" s="132" t="s">
        <v>110</v>
      </c>
      <c r="AM60" s="141"/>
    </row>
    <row r="61" spans="2:39" s="82" customFormat="1" x14ac:dyDescent="0.25">
      <c r="B61" s="135" t="s">
        <v>118</v>
      </c>
      <c r="C61" s="132">
        <v>3012.50268944656</v>
      </c>
      <c r="D61" s="132">
        <v>2896.9228789095</v>
      </c>
      <c r="E61" s="132">
        <v>2774.5657316069296</v>
      </c>
      <c r="F61" s="132">
        <v>2776.1836468400302</v>
      </c>
      <c r="G61" s="132">
        <v>2623.2171796806897</v>
      </c>
      <c r="H61" s="132">
        <v>2548.4457988917598</v>
      </c>
      <c r="I61" s="132">
        <v>2507.73433598671</v>
      </c>
      <c r="J61" s="132">
        <v>2484.0649937376302</v>
      </c>
      <c r="K61" s="132">
        <v>2525.6701714877158</v>
      </c>
      <c r="L61" s="132">
        <v>2518.3006786216524</v>
      </c>
      <c r="M61" s="132">
        <v>2506.0440176324055</v>
      </c>
      <c r="N61" s="132">
        <v>2671.0639066000463</v>
      </c>
      <c r="O61" s="132">
        <v>2630.8302815099714</v>
      </c>
      <c r="P61" s="132"/>
      <c r="Q61" s="132">
        <f t="shared" si="37"/>
        <v>2630.8302815099714</v>
      </c>
      <c r="R61" s="132">
        <v>2661.8323205732268</v>
      </c>
      <c r="S61" s="132"/>
      <c r="T61" s="132">
        <f t="shared" si="38"/>
        <v>2661.8323205732268</v>
      </c>
      <c r="U61" s="132">
        <v>2651.1205343759698</v>
      </c>
      <c r="V61" s="132"/>
      <c r="W61" s="132">
        <f t="shared" si="39"/>
        <v>2651.1205343759698</v>
      </c>
      <c r="X61" s="132">
        <v>2757.5796596588602</v>
      </c>
      <c r="Y61" s="132"/>
      <c r="Z61" s="132">
        <f t="shared" si="40"/>
        <v>2757.5796596588602</v>
      </c>
      <c r="AA61" s="132">
        <v>2755.4688132744259</v>
      </c>
      <c r="AB61" s="132">
        <v>2645.9908635889901</v>
      </c>
      <c r="AC61" s="132">
        <v>2758.1013820145531</v>
      </c>
      <c r="AD61" s="132">
        <v>2894.5298352583313</v>
      </c>
      <c r="AE61" s="132">
        <v>2879.9514688147028</v>
      </c>
      <c r="AF61" s="182">
        <f>SUM(C61:F61)</f>
        <v>11460.174946803021</v>
      </c>
      <c r="AG61" s="136">
        <f>SUM(G61:J61)</f>
        <v>10163.462308296788</v>
      </c>
      <c r="AH61" s="132">
        <f>SUM(K61:N61)</f>
        <v>10221.07877434182</v>
      </c>
      <c r="AI61" s="132">
        <f>SUM(O61,R61,U61,X61)</f>
        <v>10701.362796118028</v>
      </c>
      <c r="AJ61" s="132"/>
      <c r="AK61" s="132">
        <f t="shared" ref="AK61:AK62" si="44">AI61</f>
        <v>10701.362796118028</v>
      </c>
      <c r="AL61" s="132">
        <f>SUM(AA61:AD61)</f>
        <v>11054.090894136301</v>
      </c>
      <c r="AM61" s="141"/>
    </row>
    <row r="62" spans="2:39" s="82" customFormat="1" x14ac:dyDescent="0.25">
      <c r="B62" s="162" t="s">
        <v>119</v>
      </c>
      <c r="C62" s="154">
        <v>2.164399</v>
      </c>
      <c r="D62" s="154">
        <v>2.1306129999999999</v>
      </c>
      <c r="E62" s="154">
        <v>2.1121370000000002</v>
      </c>
      <c r="F62" s="154">
        <v>2.161394</v>
      </c>
      <c r="G62" s="154">
        <f t="shared" ref="G62:H62" si="45">G31</f>
        <v>2.1740979999999999</v>
      </c>
      <c r="H62" s="154">
        <f t="shared" si="45"/>
        <v>2.1814770000000001</v>
      </c>
      <c r="I62" s="154">
        <f>I31</f>
        <v>2.1871139999999998</v>
      </c>
      <c r="J62" s="154">
        <f>2227842/1000000</f>
        <v>2.2278419999999999</v>
      </c>
      <c r="K62" s="154">
        <v>2.2503250000000001</v>
      </c>
      <c r="L62" s="154">
        <v>2.2757580000000002</v>
      </c>
      <c r="M62" s="154">
        <v>2.3093140000000001</v>
      </c>
      <c r="N62" s="154">
        <v>2.3994149999999999</v>
      </c>
      <c r="O62" s="154">
        <v>2.4486129999999999</v>
      </c>
      <c r="P62" s="154"/>
      <c r="Q62" s="154">
        <f t="shared" si="37"/>
        <v>2.4486129999999999</v>
      </c>
      <c r="R62" s="154">
        <v>2.4843150000000001</v>
      </c>
      <c r="S62" s="154"/>
      <c r="T62" s="154">
        <f t="shared" si="38"/>
        <v>2.4843150000000001</v>
      </c>
      <c r="U62" s="154">
        <v>2.5412560000000002</v>
      </c>
      <c r="V62" s="154"/>
      <c r="W62" s="154">
        <f t="shared" si="39"/>
        <v>2.5412560000000002</v>
      </c>
      <c r="X62" s="154">
        <v>2.618268</v>
      </c>
      <c r="Y62" s="154"/>
      <c r="Z62" s="154">
        <f t="shared" si="40"/>
        <v>2.618268</v>
      </c>
      <c r="AA62" s="154">
        <v>2.659897</v>
      </c>
      <c r="AB62" s="154">
        <v>2.6831209999999999</v>
      </c>
      <c r="AC62" s="154">
        <v>2.7688480000000002</v>
      </c>
      <c r="AD62" s="154">
        <v>2.8346719999999999</v>
      </c>
      <c r="AE62" s="154">
        <v>2.8498350000000001</v>
      </c>
      <c r="AF62" s="155">
        <f>F62</f>
        <v>2.161394</v>
      </c>
      <c r="AG62" s="166">
        <f>J62</f>
        <v>2.2278419999999999</v>
      </c>
      <c r="AH62" s="166">
        <f>N62</f>
        <v>2.3994149999999999</v>
      </c>
      <c r="AI62" s="166">
        <f>X62</f>
        <v>2.618268</v>
      </c>
      <c r="AJ62" s="166"/>
      <c r="AK62" s="166">
        <f t="shared" si="44"/>
        <v>2.618268</v>
      </c>
      <c r="AL62" s="166">
        <f>AD62</f>
        <v>2.8346719999999999</v>
      </c>
      <c r="AM62" s="141"/>
    </row>
    <row r="63" spans="2:39" s="82" customFormat="1" ht="12" thickBot="1" x14ac:dyDescent="0.3">
      <c r="B63" s="167" t="s">
        <v>129</v>
      </c>
      <c r="C63" s="133">
        <v>461.24471340484803</v>
      </c>
      <c r="D63" s="133">
        <v>449.65693210472983</v>
      </c>
      <c r="E63" s="133">
        <v>435.96971014977385</v>
      </c>
      <c r="F63" s="133">
        <v>433.08194041258935</v>
      </c>
      <c r="G63" s="133">
        <f t="shared" ref="G63:O63" si="46">G61/((G62+F62)/2)/3</f>
        <v>403.37093301532087</v>
      </c>
      <c r="H63" s="133">
        <f t="shared" si="46"/>
        <v>390.06649315597593</v>
      </c>
      <c r="I63" s="133">
        <f t="shared" si="46"/>
        <v>382.69155676459673</v>
      </c>
      <c r="J63" s="133">
        <f t="shared" si="46"/>
        <v>375.09849003215891</v>
      </c>
      <c r="K63" s="133">
        <f t="shared" si="46"/>
        <v>375.99761561485843</v>
      </c>
      <c r="L63" s="133">
        <f t="shared" si="46"/>
        <v>370.93158015023181</v>
      </c>
      <c r="M63" s="133">
        <f t="shared" si="46"/>
        <v>364.3772686132163</v>
      </c>
      <c r="N63" s="133">
        <f t="shared" si="46"/>
        <v>378.17195915642998</v>
      </c>
      <c r="O63" s="133">
        <f t="shared" si="46"/>
        <v>361.7732517922712</v>
      </c>
      <c r="P63" s="133"/>
      <c r="Q63" s="133">
        <f t="shared" si="37"/>
        <v>361.7732517922712</v>
      </c>
      <c r="R63" s="133">
        <f t="shared" ref="R63" si="47">R61/((R62+Q62)/2)/3</f>
        <v>359.73662708682372</v>
      </c>
      <c r="S63" s="133"/>
      <c r="T63" s="133">
        <f t="shared" si="38"/>
        <v>359.73662708682372</v>
      </c>
      <c r="U63" s="133">
        <f t="shared" ref="U63" si="48">U61/((U62+T62)/2)/3</f>
        <v>351.68415481225514</v>
      </c>
      <c r="V63" s="133"/>
      <c r="W63" s="133">
        <f t="shared" si="39"/>
        <v>351.68415481225514</v>
      </c>
      <c r="X63" s="133">
        <f t="shared" ref="X63" si="49">X61/((X62+W62)/2)/3</f>
        <v>356.30931065977666</v>
      </c>
      <c r="Y63" s="133"/>
      <c r="Z63" s="133">
        <f t="shared" si="40"/>
        <v>356.30931065977666</v>
      </c>
      <c r="AA63" s="133">
        <f>AA61/((Z62+AA62)/2)/3</f>
        <v>348.0336838370186</v>
      </c>
      <c r="AB63" s="133">
        <f>AB61/((AA62+AB62)/2)/3</f>
        <v>330.14934800132187</v>
      </c>
      <c r="AC63" s="133">
        <f>AC61/((AB62+AC62)/2)/3</f>
        <v>337.26058506135467</v>
      </c>
      <c r="AD63" s="133">
        <f>AD61/((AC62+AD62)/2)/3</f>
        <v>344.37042374059297</v>
      </c>
      <c r="AE63" s="133">
        <f>AE61/((AD62+AE62)/2)/3</f>
        <v>337.75446945117113</v>
      </c>
      <c r="AF63" s="183" t="s">
        <v>110</v>
      </c>
      <c r="AG63" s="184" t="s">
        <v>110</v>
      </c>
      <c r="AH63" s="184" t="s">
        <v>110</v>
      </c>
      <c r="AI63" s="184" t="s">
        <v>110</v>
      </c>
      <c r="AJ63" s="184"/>
      <c r="AK63" s="184" t="s">
        <v>110</v>
      </c>
      <c r="AL63" s="184" t="s">
        <v>110</v>
      </c>
      <c r="AM63" s="141"/>
    </row>
    <row r="64" spans="2:39" s="82" customFormat="1" ht="12" thickTop="1" x14ac:dyDescent="0.25">
      <c r="B64" s="141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85"/>
      <c r="AB64" s="185"/>
      <c r="AC64" s="185"/>
      <c r="AD64" s="185"/>
      <c r="AE64" s="185"/>
      <c r="AF64" s="186"/>
      <c r="AG64" s="136"/>
      <c r="AH64" s="136"/>
      <c r="AI64" s="136"/>
      <c r="AJ64" s="136"/>
      <c r="AK64" s="136"/>
      <c r="AL64" s="136"/>
      <c r="AM64" s="141"/>
    </row>
    <row r="65" spans="2:39" s="82" customFormat="1" ht="12" thickBot="1" x14ac:dyDescent="0.3">
      <c r="B65" s="187" t="s">
        <v>130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9"/>
      <c r="AB65" s="189"/>
      <c r="AC65" s="189"/>
      <c r="AD65" s="189"/>
      <c r="AE65" s="189"/>
      <c r="AF65" s="190"/>
      <c r="AG65" s="191"/>
      <c r="AH65" s="191"/>
      <c r="AI65" s="191"/>
      <c r="AJ65" s="191"/>
      <c r="AK65" s="191"/>
      <c r="AL65" s="191"/>
      <c r="AM65" s="141"/>
    </row>
    <row r="66" spans="2:39" s="82" customFormat="1" x14ac:dyDescent="0.25">
      <c r="B66" s="141" t="s">
        <v>131</v>
      </c>
      <c r="C66" s="160">
        <v>0.46</v>
      </c>
      <c r="D66" s="160">
        <v>0.46</v>
      </c>
      <c r="E66" s="160">
        <v>0.46</v>
      </c>
      <c r="F66" s="160">
        <v>0.56000000000000005</v>
      </c>
      <c r="G66" s="160">
        <v>0.67</v>
      </c>
      <c r="H66" s="160">
        <v>0.6</v>
      </c>
      <c r="I66" s="160">
        <v>0.6</v>
      </c>
      <c r="J66" s="160">
        <v>0.63</v>
      </c>
      <c r="K66" s="160">
        <v>0.65</v>
      </c>
      <c r="L66" s="160">
        <v>0.69</v>
      </c>
      <c r="M66" s="160">
        <v>0.71</v>
      </c>
      <c r="N66" s="160">
        <v>0.74</v>
      </c>
      <c r="O66" s="160">
        <v>0.77</v>
      </c>
      <c r="P66" s="132"/>
      <c r="Q66" s="160"/>
      <c r="R66" s="160">
        <v>0.81</v>
      </c>
      <c r="S66" s="132"/>
      <c r="T66" s="132"/>
      <c r="U66" s="160">
        <v>0.84</v>
      </c>
      <c r="V66" s="132"/>
      <c r="W66" s="160"/>
      <c r="X66" s="160">
        <v>0.86</v>
      </c>
      <c r="Y66" s="132"/>
      <c r="Z66" s="132"/>
      <c r="AA66" s="160">
        <v>0.86</v>
      </c>
      <c r="AB66" s="192">
        <v>0.87</v>
      </c>
      <c r="AC66" s="192">
        <v>0.87</v>
      </c>
      <c r="AD66" s="192">
        <v>0.88</v>
      </c>
      <c r="AE66" s="192">
        <v>0.89</v>
      </c>
      <c r="AF66" s="132" t="s">
        <v>110</v>
      </c>
      <c r="AG66" s="132" t="s">
        <v>110</v>
      </c>
      <c r="AH66" s="132" t="s">
        <v>110</v>
      </c>
      <c r="AI66" s="132" t="s">
        <v>110</v>
      </c>
      <c r="AJ66" s="132"/>
      <c r="AK66" s="152" t="s">
        <v>110</v>
      </c>
      <c r="AL66" s="341">
        <f>AE66</f>
        <v>0.89</v>
      </c>
      <c r="AM66" s="141"/>
    </row>
    <row r="67" spans="2:39" s="196" customFormat="1" ht="12" thickBot="1" x14ac:dyDescent="0.3">
      <c r="B67" s="193" t="s">
        <v>132</v>
      </c>
      <c r="C67" s="193">
        <v>6.3256722606111343E-2</v>
      </c>
      <c r="D67" s="193">
        <v>7.5559080744859258E-2</v>
      </c>
      <c r="E67" s="193">
        <v>9.6510667220031043E-2</v>
      </c>
      <c r="F67" s="193">
        <v>0.11880881030810647</v>
      </c>
      <c r="G67" s="193">
        <v>0.14339265132320808</v>
      </c>
      <c r="H67" s="193">
        <v>0.16695302062373971</v>
      </c>
      <c r="I67" s="193">
        <v>0.19834284843446198</v>
      </c>
      <c r="J67" s="193">
        <v>0.21753104109762078</v>
      </c>
      <c r="K67" s="193">
        <v>0.22709851824952784</v>
      </c>
      <c r="L67" s="193">
        <v>0.25069082688045097</v>
      </c>
      <c r="M67" s="193">
        <v>0.28089086631798676</v>
      </c>
      <c r="N67" s="193">
        <v>0.30045759618597384</v>
      </c>
      <c r="O67" s="193">
        <v>0.31679164299129209</v>
      </c>
      <c r="P67" s="193"/>
      <c r="Q67" s="193"/>
      <c r="R67" s="193">
        <v>0.33557203271975039</v>
      </c>
      <c r="S67" s="193"/>
      <c r="T67" s="193"/>
      <c r="U67" s="193">
        <v>0.36600238901719151</v>
      </c>
      <c r="V67" s="193"/>
      <c r="W67" s="193"/>
      <c r="X67" s="193">
        <v>0.38137803635573098</v>
      </c>
      <c r="Y67" s="193"/>
      <c r="Z67" s="193"/>
      <c r="AA67" s="193">
        <v>0.39689475001082497</v>
      </c>
      <c r="AB67" s="193">
        <v>0.43</v>
      </c>
      <c r="AC67" s="194">
        <v>0.4597516167777515</v>
      </c>
      <c r="AD67" s="194">
        <v>0.47786061257453794</v>
      </c>
      <c r="AE67" s="194">
        <v>0.49</v>
      </c>
      <c r="AF67" s="195" t="s">
        <v>110</v>
      </c>
      <c r="AG67" s="195" t="s">
        <v>110</v>
      </c>
      <c r="AH67" s="195" t="s">
        <v>110</v>
      </c>
      <c r="AI67" s="195" t="s">
        <v>110</v>
      </c>
      <c r="AJ67" s="195"/>
      <c r="AK67" s="195" t="s">
        <v>110</v>
      </c>
      <c r="AL67" s="195">
        <f>AE67</f>
        <v>0.49</v>
      </c>
    </row>
    <row r="68" spans="2:39" s="82" customFormat="1" ht="12" thickTop="1" x14ac:dyDescent="0.25"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</row>
    <row r="69" spans="2:39" s="82" customFormat="1" ht="25" x14ac:dyDescent="0.25">
      <c r="B69" s="76" t="s">
        <v>157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</row>
    <row r="70" spans="2:39" s="82" customFormat="1" x14ac:dyDescent="0.25">
      <c r="B70" s="197"/>
    </row>
    <row r="71" spans="2:39" s="82" customFormat="1" x14ac:dyDescent="0.25">
      <c r="B71" s="82" t="s">
        <v>133</v>
      </c>
    </row>
    <row r="72" spans="2:39" s="82" customFormat="1" x14ac:dyDescent="0.25"/>
    <row r="73" spans="2:39" s="82" customFormat="1" x14ac:dyDescent="0.25"/>
    <row r="74" spans="2:39" s="82" customFormat="1" x14ac:dyDescent="0.25"/>
    <row r="75" spans="2:39" s="82" customFormat="1" x14ac:dyDescent="0.25"/>
    <row r="76" spans="2:39" s="82" customFormat="1" x14ac:dyDescent="0.25"/>
    <row r="77" spans="2:39" s="82" customFormat="1" x14ac:dyDescent="0.25"/>
    <row r="78" spans="2:39" s="82" customFormat="1" x14ac:dyDescent="0.25"/>
    <row r="79" spans="2:39" s="82" customFormat="1" x14ac:dyDescent="0.25"/>
    <row r="80" spans="2:39" s="82" customFormat="1" x14ac:dyDescent="0.25"/>
    <row r="81" spans="3:31" s="82" customFormat="1" x14ac:dyDescent="0.25"/>
    <row r="82" spans="3:31" s="82" customFormat="1" x14ac:dyDescent="0.25"/>
    <row r="83" spans="3:31" s="82" customFormat="1" x14ac:dyDescent="0.25"/>
    <row r="84" spans="3:31" s="82" customFormat="1" x14ac:dyDescent="0.25">
      <c r="C84" s="82">
        <v>74.628299999999996</v>
      </c>
      <c r="D84" s="82">
        <v>65.888300000000001</v>
      </c>
      <c r="E84" s="82">
        <v>64.624499999999998</v>
      </c>
      <c r="F84" s="82">
        <v>63.0685</v>
      </c>
      <c r="G84" s="198">
        <v>58.836599999999997</v>
      </c>
      <c r="H84" s="198">
        <v>57.145099999999999</v>
      </c>
      <c r="I84" s="198">
        <v>59.019500000000001</v>
      </c>
      <c r="J84" s="198">
        <v>58.408000000000001</v>
      </c>
      <c r="K84" s="198">
        <v>56.880299999999998</v>
      </c>
      <c r="L84" s="198">
        <v>57.831099999999999</v>
      </c>
      <c r="M84" s="198">
        <v>57.831099999999999</v>
      </c>
      <c r="N84" s="198">
        <v>66.482200000000006</v>
      </c>
      <c r="O84" s="198">
        <v>66.482200000000006</v>
      </c>
      <c r="P84" s="199"/>
      <c r="Q84" s="199"/>
      <c r="R84" s="199">
        <v>64.558400000000006</v>
      </c>
      <c r="S84" s="199"/>
      <c r="T84" s="199"/>
      <c r="U84" s="199">
        <v>64.5685</v>
      </c>
      <c r="V84" s="199"/>
      <c r="W84" s="199"/>
      <c r="X84" s="200">
        <v>63.719200000000001</v>
      </c>
      <c r="Y84" s="199"/>
      <c r="Z84" s="199"/>
      <c r="AA84" s="200">
        <v>66.381799999999998</v>
      </c>
      <c r="AB84" s="200">
        <v>72.361099999999993</v>
      </c>
      <c r="AC84" s="200">
        <v>73.559799999999996</v>
      </c>
      <c r="AD84" s="200">
        <v>76.222800000000007</v>
      </c>
      <c r="AE84" s="201">
        <f>Index!E5</f>
        <v>74.341399999999993</v>
      </c>
    </row>
    <row r="85" spans="3:31" x14ac:dyDescent="0.25">
      <c r="Q85" s="82"/>
      <c r="T85" s="82"/>
      <c r="W85" s="82"/>
      <c r="Z85" s="82"/>
    </row>
    <row r="86" spans="3:31" x14ac:dyDescent="0.25">
      <c r="Q86" s="82"/>
      <c r="T86" s="82"/>
      <c r="W86" s="82"/>
      <c r="Z86" s="82"/>
    </row>
    <row r="87" spans="3:31" x14ac:dyDescent="0.25">
      <c r="Q87" s="82"/>
      <c r="T87" s="82"/>
      <c r="W87" s="82"/>
      <c r="Z87" s="82"/>
    </row>
    <row r="88" spans="3:31" x14ac:dyDescent="0.25">
      <c r="Q88" s="82"/>
      <c r="T88" s="82"/>
      <c r="W88" s="82"/>
      <c r="Z88" s="82"/>
    </row>
    <row r="89" spans="3:31" x14ac:dyDescent="0.25">
      <c r="Q89" s="82"/>
      <c r="T89" s="82"/>
      <c r="W89" s="82"/>
      <c r="Z89" s="82"/>
    </row>
    <row r="90" spans="3:31" x14ac:dyDescent="0.25">
      <c r="Q90" s="82"/>
      <c r="T90" s="82"/>
      <c r="W90" s="82"/>
      <c r="Z90" s="82"/>
    </row>
    <row r="91" spans="3:31" x14ac:dyDescent="0.25">
      <c r="Q91" s="82"/>
      <c r="T91" s="82"/>
      <c r="W91" s="82"/>
      <c r="Z91" s="82"/>
    </row>
    <row r="92" spans="3:31" x14ac:dyDescent="0.25">
      <c r="Q92" s="82"/>
      <c r="T92" s="82"/>
      <c r="W92" s="82"/>
      <c r="Z92" s="82"/>
    </row>
    <row r="93" spans="3:31" x14ac:dyDescent="0.25">
      <c r="Q93" s="82"/>
      <c r="T93" s="82"/>
      <c r="W93" s="82"/>
      <c r="Z93" s="82"/>
    </row>
    <row r="94" spans="3:31" x14ac:dyDescent="0.25">
      <c r="Q94" s="82"/>
      <c r="T94" s="82"/>
      <c r="W94" s="82"/>
      <c r="Z94" s="82"/>
    </row>
    <row r="95" spans="3:31" x14ac:dyDescent="0.25">
      <c r="Q95" s="82"/>
      <c r="T95" s="82"/>
      <c r="W95" s="82"/>
      <c r="Z95" s="82"/>
    </row>
    <row r="96" spans="3:31" x14ac:dyDescent="0.25">
      <c r="Q96" s="82"/>
      <c r="T96" s="82"/>
      <c r="W96" s="82"/>
      <c r="Z96" s="82"/>
    </row>
    <row r="97" spans="17:26" x14ac:dyDescent="0.25">
      <c r="Q97" s="82"/>
      <c r="T97" s="82"/>
      <c r="W97" s="82"/>
      <c r="Z97" s="82"/>
    </row>
    <row r="98" spans="17:26" x14ac:dyDescent="0.25">
      <c r="Q98" s="82"/>
      <c r="T98" s="82"/>
      <c r="W98" s="82"/>
      <c r="Z98" s="82"/>
    </row>
    <row r="99" spans="17:26" x14ac:dyDescent="0.25">
      <c r="Q99" s="82"/>
      <c r="T99" s="82"/>
      <c r="W99" s="82"/>
      <c r="Z99" s="82"/>
    </row>
    <row r="100" spans="17:26" x14ac:dyDescent="0.25">
      <c r="Q100" s="82"/>
      <c r="T100" s="82"/>
      <c r="W100" s="82"/>
      <c r="Z100" s="82"/>
    </row>
    <row r="101" spans="17:26" x14ac:dyDescent="0.25">
      <c r="Q101" s="82"/>
      <c r="T101" s="82"/>
      <c r="W101" s="82"/>
      <c r="Z101" s="82"/>
    </row>
    <row r="102" spans="17:26" x14ac:dyDescent="0.25">
      <c r="Q102" s="82"/>
      <c r="T102" s="82"/>
      <c r="W102" s="82"/>
      <c r="Z102" s="82"/>
    </row>
    <row r="103" spans="17:26" x14ac:dyDescent="0.25">
      <c r="Q103" s="82"/>
      <c r="T103" s="82"/>
      <c r="W103" s="82"/>
      <c r="Z103" s="82"/>
    </row>
    <row r="104" spans="17:26" x14ac:dyDescent="0.25">
      <c r="Q104" s="82"/>
      <c r="T104" s="82"/>
      <c r="W104" s="82"/>
      <c r="Z104" s="82"/>
    </row>
    <row r="105" spans="17:26" x14ac:dyDescent="0.25">
      <c r="Q105" s="82"/>
      <c r="T105" s="82"/>
      <c r="W105" s="82"/>
      <c r="Z105" s="82"/>
    </row>
    <row r="106" spans="17:26" x14ac:dyDescent="0.25">
      <c r="Q106" s="82"/>
      <c r="T106" s="82"/>
      <c r="W106" s="82"/>
      <c r="Z106" s="82"/>
    </row>
    <row r="107" spans="17:26" x14ac:dyDescent="0.25">
      <c r="Q107" s="82"/>
      <c r="T107" s="82"/>
      <c r="W107" s="82"/>
      <c r="Z107" s="82"/>
    </row>
    <row r="108" spans="17:26" x14ac:dyDescent="0.25">
      <c r="Q108" s="82"/>
      <c r="T108" s="82"/>
      <c r="W108" s="82"/>
      <c r="Z108" s="82"/>
    </row>
    <row r="109" spans="17:26" x14ac:dyDescent="0.25">
      <c r="Q109" s="82"/>
      <c r="T109" s="82"/>
      <c r="W109" s="82"/>
      <c r="Z109" s="82"/>
    </row>
    <row r="110" spans="17:26" x14ac:dyDescent="0.25">
      <c r="Q110" s="82"/>
      <c r="T110" s="82"/>
      <c r="W110" s="82"/>
      <c r="Z110" s="82"/>
    </row>
    <row r="111" spans="17:26" x14ac:dyDescent="0.25">
      <c r="Q111" s="82"/>
      <c r="T111" s="82"/>
      <c r="W111" s="82"/>
      <c r="Z111" s="82"/>
    </row>
    <row r="112" spans="17:26" x14ac:dyDescent="0.25">
      <c r="Q112" s="82"/>
      <c r="T112" s="82"/>
      <c r="W112" s="82"/>
      <c r="Z112" s="82"/>
    </row>
    <row r="113" spans="17:26" x14ac:dyDescent="0.25">
      <c r="Q113" s="82"/>
      <c r="T113" s="82"/>
      <c r="W113" s="82"/>
      <c r="Z113" s="82"/>
    </row>
    <row r="114" spans="17:26" x14ac:dyDescent="0.25">
      <c r="Q114" s="82"/>
      <c r="T114" s="82"/>
      <c r="W114" s="82"/>
      <c r="Z114" s="82"/>
    </row>
    <row r="115" spans="17:26" x14ac:dyDescent="0.25">
      <c r="Q115" s="82"/>
      <c r="T115" s="82"/>
      <c r="W115" s="82"/>
      <c r="Z115" s="82"/>
    </row>
    <row r="116" spans="17:26" x14ac:dyDescent="0.25">
      <c r="Q116" s="82"/>
      <c r="T116" s="82"/>
      <c r="W116" s="82"/>
      <c r="Z116" s="82"/>
    </row>
    <row r="117" spans="17:26" x14ac:dyDescent="0.25">
      <c r="Q117" s="82"/>
      <c r="T117" s="82"/>
      <c r="W117" s="82"/>
      <c r="Z117" s="82"/>
    </row>
    <row r="118" spans="17:26" x14ac:dyDescent="0.25">
      <c r="Q118" s="82"/>
      <c r="T118" s="82"/>
      <c r="W118" s="82"/>
      <c r="Z118" s="82"/>
    </row>
    <row r="119" spans="17:26" x14ac:dyDescent="0.25">
      <c r="Q119" s="82"/>
      <c r="T119" s="82"/>
      <c r="W119" s="82"/>
      <c r="Z119" s="82"/>
    </row>
    <row r="120" spans="17:26" x14ac:dyDescent="0.25">
      <c r="Q120" s="82"/>
      <c r="T120" s="82"/>
      <c r="W120" s="82"/>
      <c r="Z120" s="82"/>
    </row>
    <row r="121" spans="17:26" x14ac:dyDescent="0.25">
      <c r="Q121" s="82"/>
      <c r="T121" s="82"/>
      <c r="W121" s="82"/>
      <c r="Z121" s="82"/>
    </row>
    <row r="122" spans="17:26" x14ac:dyDescent="0.25">
      <c r="Q122" s="82"/>
      <c r="T122" s="82"/>
      <c r="W122" s="82"/>
      <c r="Z122" s="82"/>
    </row>
    <row r="123" spans="17:26" x14ac:dyDescent="0.25">
      <c r="Q123" s="82"/>
      <c r="T123" s="82"/>
      <c r="W123" s="82"/>
      <c r="Z123" s="82"/>
    </row>
  </sheetData>
  <hyperlinks>
    <hyperlink ref="B2" location="Index!A1" display="index page" xr:uid="{0379544B-24C0-4671-8835-4689C4FF7D0C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F6A9-5946-4144-BC64-6150CED08AF8}">
  <sheetPr>
    <pageSetUpPr fitToPage="1"/>
  </sheetPr>
  <dimension ref="B1:AM47"/>
  <sheetViews>
    <sheetView showGridLines="0" view="pageBreakPreview" zoomScaleNormal="90" zoomScaleSheetLayoutView="100" workbookViewId="0">
      <pane xSplit="2" ySplit="4" topLeftCell="O7" activePane="bottomRight" state="frozen"/>
      <selection activeCell="K31" sqref="K31"/>
      <selection pane="topRight" activeCell="K31" sqref="K31"/>
      <selection pane="bottomLeft" activeCell="K31" sqref="K31"/>
      <selection pane="bottomRight" activeCell="O1" sqref="O1:Z1048576"/>
    </sheetView>
  </sheetViews>
  <sheetFormatPr defaultColWidth="8.81640625" defaultRowHeight="11.5" outlineLevelCol="1" x14ac:dyDescent="0.25"/>
  <cols>
    <col min="1" max="1" width="2.26953125" style="6" customWidth="1"/>
    <col min="2" max="2" width="55.7265625" style="6" customWidth="1"/>
    <col min="3" max="14" width="10.54296875" style="6" hidden="1" customWidth="1" outlineLevel="1"/>
    <col min="15" max="15" width="10.54296875" style="6" customWidth="1" collapsed="1"/>
    <col min="16" max="31" width="10.54296875" style="6" customWidth="1"/>
    <col min="32" max="33" width="10.54296875" style="6" hidden="1" customWidth="1" outlineLevel="1"/>
    <col min="34" max="34" width="8.81640625" style="6" hidden="1" customWidth="1" outlineLevel="1"/>
    <col min="35" max="35" width="8.81640625" style="6" customWidth="1" collapsed="1"/>
    <col min="36" max="37" width="8.81640625" style="6" customWidth="1"/>
    <col min="38" max="16384" width="8.81640625" style="6"/>
  </cols>
  <sheetData>
    <row r="1" spans="2:39" s="28" customFormat="1" x14ac:dyDescent="0.25">
      <c r="B1" s="30" t="s">
        <v>17</v>
      </c>
    </row>
    <row r="2" spans="2:39" s="28" customFormat="1" x14ac:dyDescent="0.25">
      <c r="B2" s="34" t="s">
        <v>39</v>
      </c>
    </row>
    <row r="3" spans="2:39" s="28" customFormat="1" ht="48.65" customHeight="1" thickBot="1" x14ac:dyDescent="0.3">
      <c r="B3" s="36" t="s">
        <v>40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4"/>
    </row>
    <row r="4" spans="2:39" s="141" customFormat="1" ht="12.5" thickTop="1" thickBot="1" x14ac:dyDescent="0.3">
      <c r="B4" s="38" t="s">
        <v>102</v>
      </c>
      <c r="C4" s="43" t="s">
        <v>92</v>
      </c>
      <c r="D4" s="43" t="s">
        <v>93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43" t="s">
        <v>7</v>
      </c>
      <c r="AB4" s="43" t="s">
        <v>63</v>
      </c>
      <c r="AC4" s="43" t="s">
        <v>64</v>
      </c>
      <c r="AD4" s="43" t="s">
        <v>65</v>
      </c>
      <c r="AE4" s="43" t="s">
        <v>6</v>
      </c>
      <c r="AF4" s="134" t="s">
        <v>94</v>
      </c>
      <c r="AG4" s="43" t="s">
        <v>67</v>
      </c>
      <c r="AH4" s="43" t="s">
        <v>68</v>
      </c>
      <c r="AI4" s="43" t="s">
        <v>69</v>
      </c>
      <c r="AJ4" s="43" t="s">
        <v>55</v>
      </c>
      <c r="AK4" s="84" t="s">
        <v>70</v>
      </c>
      <c r="AL4" s="205" t="s">
        <v>71</v>
      </c>
      <c r="AM4" s="206"/>
    </row>
    <row r="5" spans="2:39" s="82" customFormat="1" x14ac:dyDescent="0.25">
      <c r="B5" s="135" t="s">
        <v>72</v>
      </c>
      <c r="C5" s="132">
        <v>350.93564444239917</v>
      </c>
      <c r="D5" s="132">
        <v>361.34288376788203</v>
      </c>
      <c r="E5" s="132">
        <v>367.88747992000003</v>
      </c>
      <c r="F5" s="132">
        <v>369.37633957000003</v>
      </c>
      <c r="G5" s="132">
        <v>369.62661883000004</v>
      </c>
      <c r="H5" s="132">
        <v>385.71851006999998</v>
      </c>
      <c r="I5" s="132">
        <v>390.86675659000002</v>
      </c>
      <c r="J5" s="132">
        <v>378.88953637000003</v>
      </c>
      <c r="K5" s="132">
        <v>367.72176015999997</v>
      </c>
      <c r="L5" s="132">
        <v>363.11475482000003</v>
      </c>
      <c r="M5" s="132">
        <v>395.16945439999995</v>
      </c>
      <c r="N5" s="132">
        <v>367.97445885999997</v>
      </c>
      <c r="O5" s="132">
        <v>361.74706747000005</v>
      </c>
      <c r="P5" s="132"/>
      <c r="Q5" s="138">
        <f>O5</f>
        <v>361.74706747000005</v>
      </c>
      <c r="R5" s="132">
        <v>347.28075047999999</v>
      </c>
      <c r="S5" s="132"/>
      <c r="T5" s="138">
        <f>R5</f>
        <v>347.28075047999999</v>
      </c>
      <c r="U5" s="132">
        <v>286.46875816000005</v>
      </c>
      <c r="V5" s="132"/>
      <c r="W5" s="138">
        <f>U5</f>
        <v>286.46875816000005</v>
      </c>
      <c r="X5" s="132">
        <v>324.14335160000002</v>
      </c>
      <c r="Y5" s="132"/>
      <c r="Z5" s="138">
        <f>X5</f>
        <v>324.14335160000002</v>
      </c>
      <c r="AA5" s="132">
        <v>316.32149898</v>
      </c>
      <c r="AB5" s="132">
        <v>287.91862040999996</v>
      </c>
      <c r="AC5" s="132">
        <v>303.30544082</v>
      </c>
      <c r="AD5" s="132">
        <v>325.22816185000005</v>
      </c>
      <c r="AE5" s="132">
        <v>347.29402062999998</v>
      </c>
      <c r="AF5" s="137">
        <v>1449.5423477002812</v>
      </c>
      <c r="AG5" s="132">
        <f>SUM(G5:J5)</f>
        <v>1525.1014218600001</v>
      </c>
      <c r="AH5" s="132">
        <f>SUM(K5:N5)</f>
        <v>1493.9804282399998</v>
      </c>
      <c r="AI5" s="132">
        <f>SUM(O5,R5,U5,X5)</f>
        <v>1319.6399277100002</v>
      </c>
      <c r="AJ5" s="132"/>
      <c r="AK5" s="132">
        <f>AI5</f>
        <v>1319.6399277100002</v>
      </c>
      <c r="AL5" s="132">
        <f>SUM(AA5:AD5)</f>
        <v>1232.7737220600002</v>
      </c>
      <c r="AM5" s="207"/>
    </row>
    <row r="6" spans="2:39" s="82" customFormat="1" x14ac:dyDescent="0.25">
      <c r="B6" s="159" t="s">
        <v>73</v>
      </c>
      <c r="C6" s="132">
        <v>331.73938196651704</v>
      </c>
      <c r="D6" s="132">
        <v>341.48812061206866</v>
      </c>
      <c r="E6" s="132">
        <v>344.83053705000003</v>
      </c>
      <c r="F6" s="132">
        <v>345.76369205999998</v>
      </c>
      <c r="G6" s="132">
        <v>345.39102786000001</v>
      </c>
      <c r="H6" s="132">
        <v>359.34982650000001</v>
      </c>
      <c r="I6" s="132">
        <v>362.90827806999999</v>
      </c>
      <c r="J6" s="132">
        <v>350.33999173000001</v>
      </c>
      <c r="K6" s="132">
        <v>340.92555540999996</v>
      </c>
      <c r="L6" s="132">
        <v>337.18405975000002</v>
      </c>
      <c r="M6" s="132">
        <v>369.41557002999997</v>
      </c>
      <c r="N6" s="132">
        <v>343.83249702999996</v>
      </c>
      <c r="O6" s="132">
        <v>337.27823422</v>
      </c>
      <c r="P6" s="132"/>
      <c r="Q6" s="132">
        <f t="shared" ref="Q6:Q18" si="0">O6</f>
        <v>337.27823422</v>
      </c>
      <c r="R6" s="132">
        <v>324.34322044999999</v>
      </c>
      <c r="S6" s="132"/>
      <c r="T6" s="132">
        <f t="shared" ref="T6" si="1">R6</f>
        <v>324.34322044999999</v>
      </c>
      <c r="U6" s="132">
        <v>264.83815124</v>
      </c>
      <c r="V6" s="132"/>
      <c r="W6" s="132">
        <f t="shared" ref="W6" si="2">U6</f>
        <v>264.83815124</v>
      </c>
      <c r="X6" s="132">
        <v>301.61410826999997</v>
      </c>
      <c r="Y6" s="132"/>
      <c r="Z6" s="132">
        <f t="shared" ref="Z6" si="3">X6</f>
        <v>301.61410826999997</v>
      </c>
      <c r="AA6" s="132">
        <v>293.44344455999999</v>
      </c>
      <c r="AB6" s="132">
        <v>265.73530548999997</v>
      </c>
      <c r="AC6" s="132">
        <v>278.00359111999995</v>
      </c>
      <c r="AD6" s="132">
        <v>297.26622175</v>
      </c>
      <c r="AE6" s="132">
        <v>318.11529290999999</v>
      </c>
      <c r="AF6" s="137">
        <v>1363.8217316885857</v>
      </c>
      <c r="AG6" s="132">
        <f>SUM(G6:J6)</f>
        <v>1417.9891241600001</v>
      </c>
      <c r="AH6" s="132">
        <f>SUM(K6:N6)</f>
        <v>1391.35768222</v>
      </c>
      <c r="AI6" s="132">
        <f t="shared" ref="AI6:AI7" si="4">SUM(O6,R6,U6,X6)</f>
        <v>1228.07371418</v>
      </c>
      <c r="AJ6" s="132"/>
      <c r="AK6" s="132">
        <f t="shared" ref="AK6" si="5">AI6</f>
        <v>1228.07371418</v>
      </c>
      <c r="AL6" s="132">
        <f>SUM(AA6:AD6)</f>
        <v>1134.4485629199999</v>
      </c>
      <c r="AM6" s="207"/>
    </row>
    <row r="7" spans="2:39" s="82" customFormat="1" x14ac:dyDescent="0.25">
      <c r="B7" s="135" t="s">
        <v>74</v>
      </c>
      <c r="C7" s="132">
        <v>135.95774153325368</v>
      </c>
      <c r="D7" s="132">
        <v>130.26317778769601</v>
      </c>
      <c r="E7" s="132">
        <v>147.0005065</v>
      </c>
      <c r="F7" s="132">
        <v>128.94746179999999</v>
      </c>
      <c r="G7" s="132">
        <v>154.47074556999996</v>
      </c>
      <c r="H7" s="132">
        <v>166.92775883999997</v>
      </c>
      <c r="I7" s="132">
        <v>208.48230611</v>
      </c>
      <c r="J7" s="132">
        <v>173.46451652000002</v>
      </c>
      <c r="K7" s="132">
        <v>174.56578678</v>
      </c>
      <c r="L7" s="132">
        <v>174</v>
      </c>
      <c r="M7" s="132">
        <v>191.52818478</v>
      </c>
      <c r="N7" s="132">
        <v>172.87064704999995</v>
      </c>
      <c r="O7" s="132">
        <v>183.29846449000007</v>
      </c>
      <c r="P7" s="132">
        <v>13.086612605492238</v>
      </c>
      <c r="Q7" s="132">
        <f>O7-P7</f>
        <v>170.21185188450784</v>
      </c>
      <c r="R7" s="132">
        <v>185.41430293000002</v>
      </c>
      <c r="S7" s="132">
        <v>10.625778601160407</v>
      </c>
      <c r="T7" s="132">
        <f>R7-S7</f>
        <v>174.7885243288396</v>
      </c>
      <c r="U7" s="132">
        <v>140.16136841000002</v>
      </c>
      <c r="V7" s="132">
        <v>10.580138574913301</v>
      </c>
      <c r="W7" s="132">
        <f>U7-V7</f>
        <v>129.58122983508673</v>
      </c>
      <c r="X7" s="132">
        <v>159.97179728999996</v>
      </c>
      <c r="Y7" s="132">
        <v>12.211157543317359</v>
      </c>
      <c r="Z7" s="132">
        <f>X7-Y7</f>
        <v>147.76063974668259</v>
      </c>
      <c r="AA7" s="132">
        <v>146.92716576999999</v>
      </c>
      <c r="AB7" s="132">
        <v>132.64510373999997</v>
      </c>
      <c r="AC7" s="132">
        <v>188.41061333999997</v>
      </c>
      <c r="AD7" s="132">
        <v>144.36436785000004</v>
      </c>
      <c r="AE7" s="132">
        <v>156.10554587000001</v>
      </c>
      <c r="AF7" s="137">
        <v>542.16888762094959</v>
      </c>
      <c r="AG7" s="132">
        <f>SUM(G7:J7)</f>
        <v>703.34532704000003</v>
      </c>
      <c r="AH7" s="132">
        <f>SUM(K7:N7)</f>
        <v>712.96461860999989</v>
      </c>
      <c r="AI7" s="132">
        <f t="shared" si="4"/>
        <v>668.84593312000004</v>
      </c>
      <c r="AJ7" s="132">
        <f>SUM(P7,S7,V7,Y7)</f>
        <v>46.503687324883302</v>
      </c>
      <c r="AK7" s="132">
        <f>AI7-AJ7</f>
        <v>622.3422457951167</v>
      </c>
      <c r="AL7" s="132">
        <f>SUM(AA7:AD7)</f>
        <v>612.3472506999999</v>
      </c>
      <c r="AM7" s="207"/>
    </row>
    <row r="8" spans="2:39" s="82" customFormat="1" x14ac:dyDescent="0.25">
      <c r="B8" s="135" t="s">
        <v>75</v>
      </c>
      <c r="C8" s="143">
        <v>0.38741502519436755</v>
      </c>
      <c r="D8" s="143">
        <v>0.36049742125646494</v>
      </c>
      <c r="E8" s="143">
        <v>0.39958007413561991</v>
      </c>
      <c r="F8" s="143">
        <v>0.34909507725944455</v>
      </c>
      <c r="G8" s="143">
        <f t="shared" ref="G8:O8" si="6">G7/G5</f>
        <v>0.41791023075923189</v>
      </c>
      <c r="H8" s="143">
        <f t="shared" si="6"/>
        <v>0.43277093134500083</v>
      </c>
      <c r="I8" s="143">
        <f t="shared" si="6"/>
        <v>0.53338459358591006</v>
      </c>
      <c r="J8" s="143">
        <f t="shared" si="6"/>
        <v>0.45782345477760916</v>
      </c>
      <c r="K8" s="143">
        <f t="shared" si="6"/>
        <v>0.47472248230304459</v>
      </c>
      <c r="L8" s="143">
        <f t="shared" si="6"/>
        <v>0.47918735796416123</v>
      </c>
      <c r="M8" s="143">
        <f t="shared" si="6"/>
        <v>0.48467355623628389</v>
      </c>
      <c r="N8" s="143">
        <f t="shared" si="6"/>
        <v>0.46978979895930911</v>
      </c>
      <c r="O8" s="143">
        <f t="shared" si="6"/>
        <v>0.50670338745787113</v>
      </c>
      <c r="P8" s="143"/>
      <c r="Q8" s="143">
        <f>Q7/Q5</f>
        <v>0.47052724732488299</v>
      </c>
      <c r="R8" s="143">
        <f t="shared" ref="R8" si="7">R7/R5</f>
        <v>0.53390319697744981</v>
      </c>
      <c r="S8" s="143"/>
      <c r="T8" s="143">
        <f>T7/T5</f>
        <v>0.50330611209303333</v>
      </c>
      <c r="U8" s="143">
        <f t="shared" ref="U8" si="8">U7/U5</f>
        <v>0.48927278950159148</v>
      </c>
      <c r="V8" s="143"/>
      <c r="W8" s="143">
        <f>W7/W5</f>
        <v>0.45233983163606389</v>
      </c>
      <c r="X8" s="143">
        <f t="shared" ref="X8" si="9">X7/X5</f>
        <v>0.49352175974106866</v>
      </c>
      <c r="Y8" s="143"/>
      <c r="Z8" s="143">
        <f>Z7/Z5</f>
        <v>0.45584966965178558</v>
      </c>
      <c r="AA8" s="143">
        <f t="shared" ref="AA8:AE8" si="10">AA7/AA5</f>
        <v>0.46448681560936117</v>
      </c>
      <c r="AB8" s="143">
        <f t="shared" si="10"/>
        <v>0.46070345693901826</v>
      </c>
      <c r="AC8" s="143">
        <f t="shared" si="10"/>
        <v>0.62119101072049132</v>
      </c>
      <c r="AD8" s="143">
        <f t="shared" si="10"/>
        <v>0.44388643046410903</v>
      </c>
      <c r="AE8" s="143">
        <f t="shared" si="10"/>
        <v>0.44949102661433871</v>
      </c>
      <c r="AF8" s="144">
        <v>0.37402762912108634</v>
      </c>
      <c r="AG8" s="143">
        <f>AG7/AG5</f>
        <v>0.46117937925872915</v>
      </c>
      <c r="AH8" s="143">
        <f>AH7/AH5</f>
        <v>0.47722487198170044</v>
      </c>
      <c r="AI8" s="143">
        <f t="shared" ref="AI8" si="11">AI7/AI5</f>
        <v>0.50683972125689081</v>
      </c>
      <c r="AJ8" s="143"/>
      <c r="AK8" s="143">
        <f>AK7/AK5</f>
        <v>0.47160004235024983</v>
      </c>
      <c r="AL8" s="143">
        <f>AL7/AL5</f>
        <v>0.49672315344031676</v>
      </c>
      <c r="AM8" s="208"/>
    </row>
    <row r="9" spans="2:39" s="82" customFormat="1" x14ac:dyDescent="0.25">
      <c r="B9" s="135" t="s">
        <v>81</v>
      </c>
      <c r="C9" s="132">
        <v>19.994709106577726</v>
      </c>
      <c r="D9" s="132">
        <v>56.819731555858759</v>
      </c>
      <c r="E9" s="132">
        <v>72.537972751196534</v>
      </c>
      <c r="F9" s="132">
        <v>96.466557654260953</v>
      </c>
      <c r="G9" s="132">
        <v>34.664890217944595</v>
      </c>
      <c r="H9" s="132">
        <v>359.92417204977215</v>
      </c>
      <c r="I9" s="132">
        <v>77.875513132533328</v>
      </c>
      <c r="J9" s="132">
        <v>62.644778798164722</v>
      </c>
      <c r="K9" s="132">
        <v>65.817924945460845</v>
      </c>
      <c r="L9" s="132">
        <v>57.350150045129645</v>
      </c>
      <c r="M9" s="132">
        <v>32.685406760990674</v>
      </c>
      <c r="N9" s="132">
        <v>43.49559079821266</v>
      </c>
      <c r="O9" s="132">
        <v>52.778337104099762</v>
      </c>
      <c r="P9" s="132">
        <v>-1.126534165455588</v>
      </c>
      <c r="Q9" s="132">
        <f>O9-P9</f>
        <v>53.90487126955535</v>
      </c>
      <c r="R9" s="132">
        <v>65.629436032066764</v>
      </c>
      <c r="S9" s="132">
        <v>0.80470318621846015</v>
      </c>
      <c r="T9" s="132">
        <f>R9-S9</f>
        <v>64.824732845848303</v>
      </c>
      <c r="U9" s="132">
        <v>30.51532693770854</v>
      </c>
      <c r="V9" s="132">
        <v>1.0864402047134243</v>
      </c>
      <c r="W9" s="132">
        <f>U9-V9</f>
        <v>29.428886732995117</v>
      </c>
      <c r="X9" s="132">
        <v>70.009338855322781</v>
      </c>
      <c r="Y9" s="132">
        <v>-6.263498024030989</v>
      </c>
      <c r="Z9" s="132">
        <f>X9-Y9</f>
        <v>76.272836879353775</v>
      </c>
      <c r="AA9" s="132">
        <v>68.940784456322234</v>
      </c>
      <c r="AB9" s="132">
        <v>87.532028849598589</v>
      </c>
      <c r="AC9" s="132">
        <v>22.100814945921492</v>
      </c>
      <c r="AD9" s="132">
        <v>81.092981339334585</v>
      </c>
      <c r="AE9" s="132">
        <v>94.490012934981195</v>
      </c>
      <c r="AF9" s="137">
        <v>245.81897106789398</v>
      </c>
      <c r="AG9" s="132">
        <f>SUM(G9:J9)</f>
        <v>535.10935419841485</v>
      </c>
      <c r="AH9" s="132">
        <f>SUM(K9:N9)</f>
        <v>199.34907254979385</v>
      </c>
      <c r="AI9" s="132">
        <f t="shared" ref="AI9:AI13" si="12">SUM(O9,R9,U9,X9)</f>
        <v>218.93243892919787</v>
      </c>
      <c r="AJ9" s="132">
        <f>SUM(P9,S9,V9,Y9)</f>
        <v>-5.4988887985546926</v>
      </c>
      <c r="AK9" s="132">
        <f>AI9-AJ9</f>
        <v>224.43132772775257</v>
      </c>
      <c r="AL9" s="132">
        <f>SUM(AA9:AD9)</f>
        <v>259.66660959117689</v>
      </c>
      <c r="AM9" s="207"/>
    </row>
    <row r="10" spans="2:39" s="82" customFormat="1" x14ac:dyDescent="0.25">
      <c r="B10" s="135" t="s">
        <v>82</v>
      </c>
      <c r="C10" s="132">
        <v>19.994709106577726</v>
      </c>
      <c r="D10" s="132">
        <v>56.819731555858759</v>
      </c>
      <c r="E10" s="132">
        <v>72.537972751196534</v>
      </c>
      <c r="F10" s="132">
        <v>96.466557654260953</v>
      </c>
      <c r="G10" s="132">
        <v>34.664890217944595</v>
      </c>
      <c r="H10" s="132">
        <v>64.663952375096628</v>
      </c>
      <c r="I10" s="132">
        <v>77.875513132533328</v>
      </c>
      <c r="J10" s="132">
        <v>62.644778798164722</v>
      </c>
      <c r="K10" s="132">
        <v>65.817924945460845</v>
      </c>
      <c r="L10" s="132">
        <v>57.350150045129645</v>
      </c>
      <c r="M10" s="132">
        <v>32.685406760990674</v>
      </c>
      <c r="N10" s="132">
        <v>43.49559079821266</v>
      </c>
      <c r="O10" s="132">
        <v>52.778337104099762</v>
      </c>
      <c r="P10" s="132">
        <f>P9</f>
        <v>-1.126534165455588</v>
      </c>
      <c r="Q10" s="132">
        <f>O10-P10</f>
        <v>53.90487126955535</v>
      </c>
      <c r="R10" s="132">
        <v>65.629436032066764</v>
      </c>
      <c r="S10" s="132">
        <f>S9</f>
        <v>0.80470318621846015</v>
      </c>
      <c r="T10" s="132">
        <f>R10-S10</f>
        <v>64.824732845848303</v>
      </c>
      <c r="U10" s="132">
        <v>30.51532693770854</v>
      </c>
      <c r="V10" s="132">
        <f>V9</f>
        <v>1.0864402047134243</v>
      </c>
      <c r="W10" s="132">
        <f>U10-V10</f>
        <v>29.428886732995117</v>
      </c>
      <c r="X10" s="132">
        <v>70.009338855322781</v>
      </c>
      <c r="Y10" s="132">
        <f>Y9</f>
        <v>-6.263498024030989</v>
      </c>
      <c r="Z10" s="132">
        <f>X10-Y10</f>
        <v>76.272836879353775</v>
      </c>
      <c r="AA10" s="132">
        <v>68.940784456322234</v>
      </c>
      <c r="AB10" s="132">
        <v>87.532028849598589</v>
      </c>
      <c r="AC10" s="132">
        <v>22.100814945921492</v>
      </c>
      <c r="AD10" s="132">
        <v>81.092981339334585</v>
      </c>
      <c r="AE10" s="132">
        <v>94.490012934981195</v>
      </c>
      <c r="AF10" s="137">
        <v>245.81897106789398</v>
      </c>
      <c r="AG10" s="132">
        <f>SUM(G10:J10)</f>
        <v>239.84913452373928</v>
      </c>
      <c r="AH10" s="132">
        <f>SUM(K10:N10)</f>
        <v>199.34907254979385</v>
      </c>
      <c r="AI10" s="132">
        <f t="shared" si="12"/>
        <v>218.93243892919787</v>
      </c>
      <c r="AJ10" s="132">
        <f>AJ9</f>
        <v>-5.4988887985546926</v>
      </c>
      <c r="AK10" s="132">
        <f>AI10-AJ10</f>
        <v>224.43132772775257</v>
      </c>
      <c r="AL10" s="132">
        <f>SUM(AA10:AD10)</f>
        <v>259.66660959117689</v>
      </c>
      <c r="AM10" s="207"/>
    </row>
    <row r="11" spans="2:39" s="82" customFormat="1" x14ac:dyDescent="0.25">
      <c r="B11" s="135" t="s">
        <v>101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>
        <v>68.310632912399768</v>
      </c>
      <c r="AB11" s="132">
        <v>84.738016709348855</v>
      </c>
      <c r="AC11" s="132">
        <v>19.891297770260724</v>
      </c>
      <c r="AD11" s="132">
        <v>76.399592340312992</v>
      </c>
      <c r="AE11" s="132">
        <v>92.471030029732702</v>
      </c>
      <c r="AF11" s="137"/>
      <c r="AG11" s="132"/>
      <c r="AH11" s="132"/>
      <c r="AI11" s="132"/>
      <c r="AJ11" s="132"/>
      <c r="AK11" s="132"/>
      <c r="AL11" s="140">
        <f>SUM(AA11:AD11)</f>
        <v>249.33953973232235</v>
      </c>
      <c r="AM11" s="207"/>
    </row>
    <row r="12" spans="2:39" s="82" customFormat="1" ht="13.5" x14ac:dyDescent="0.25">
      <c r="B12" s="135" t="s">
        <v>156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>
        <v>68.310632912399768</v>
      </c>
      <c r="AB12" s="132">
        <v>84.738016709348855</v>
      </c>
      <c r="AC12" s="132">
        <v>19.891297770260724</v>
      </c>
      <c r="AD12" s="132">
        <v>76.399592340312992</v>
      </c>
      <c r="AE12" s="132">
        <v>92.471030029732702</v>
      </c>
      <c r="AF12" s="137"/>
      <c r="AG12" s="132"/>
      <c r="AH12" s="132"/>
      <c r="AI12" s="132"/>
      <c r="AJ12" s="132"/>
      <c r="AK12" s="132"/>
      <c r="AL12" s="140">
        <f>SUM(AA12:AD12)</f>
        <v>249.33953973232235</v>
      </c>
      <c r="AM12" s="207"/>
    </row>
    <row r="13" spans="2:39" s="82" customFormat="1" ht="12.75" customHeight="1" x14ac:dyDescent="0.25">
      <c r="B13" s="135" t="s">
        <v>123</v>
      </c>
      <c r="C13" s="154">
        <v>38.787543016275599</v>
      </c>
      <c r="D13" s="154">
        <v>37.617026426937834</v>
      </c>
      <c r="E13" s="154">
        <v>43.802880799999997</v>
      </c>
      <c r="F13" s="154">
        <v>47.670450950000003</v>
      </c>
      <c r="G13" s="154">
        <v>49.907384719999996</v>
      </c>
      <c r="H13" s="154">
        <v>54.940462529999991</v>
      </c>
      <c r="I13" s="154">
        <v>60.451652170000003</v>
      </c>
      <c r="J13" s="154">
        <v>59.973720280000002</v>
      </c>
      <c r="K13" s="154">
        <v>62.875515399999998</v>
      </c>
      <c r="L13" s="154">
        <v>67.466831010000007</v>
      </c>
      <c r="M13" s="154">
        <v>92.345418620000004</v>
      </c>
      <c r="N13" s="154">
        <v>88.553060520000002</v>
      </c>
      <c r="O13" s="154">
        <v>97.341961330000004</v>
      </c>
      <c r="P13" s="154"/>
      <c r="Q13" s="154">
        <f t="shared" si="0"/>
        <v>97.341961330000004</v>
      </c>
      <c r="R13" s="154">
        <v>85.198289209999999</v>
      </c>
      <c r="S13" s="154"/>
      <c r="T13" s="154">
        <f t="shared" ref="T13:T18" si="13">R13</f>
        <v>85.198289209999999</v>
      </c>
      <c r="U13" s="154">
        <v>90.287224140000006</v>
      </c>
      <c r="V13" s="154"/>
      <c r="W13" s="154">
        <f t="shared" ref="W13:W18" si="14">U13</f>
        <v>90.287224140000006</v>
      </c>
      <c r="X13" s="154">
        <v>96.987663870000006</v>
      </c>
      <c r="Y13" s="154"/>
      <c r="Z13" s="154">
        <f t="shared" ref="Z13:Z18" si="15">X13</f>
        <v>96.987663870000006</v>
      </c>
      <c r="AA13" s="154">
        <v>102.21736414000002</v>
      </c>
      <c r="AB13" s="154">
        <v>97.753665449999986</v>
      </c>
      <c r="AC13" s="154">
        <v>107.30841898</v>
      </c>
      <c r="AD13" s="154">
        <v>119.03955701</v>
      </c>
      <c r="AE13" s="154">
        <v>129.01137059000001</v>
      </c>
      <c r="AF13" s="155">
        <v>167.87790119321343</v>
      </c>
      <c r="AG13" s="132">
        <f>SUM(G13:J13)</f>
        <v>225.2732197</v>
      </c>
      <c r="AH13" s="132">
        <f>SUM(K13:N13)</f>
        <v>311.24082555000001</v>
      </c>
      <c r="AI13" s="132">
        <f t="shared" si="12"/>
        <v>369.81513855000003</v>
      </c>
      <c r="AJ13" s="132"/>
      <c r="AK13" s="132">
        <f t="shared" ref="AK13:AK18" si="16">AI13</f>
        <v>369.81513855000003</v>
      </c>
      <c r="AL13" s="132">
        <f>SUM(AA13:AD13)</f>
        <v>426.31900558000001</v>
      </c>
      <c r="AM13" s="207"/>
    </row>
    <row r="14" spans="2:39" s="82" customFormat="1" x14ac:dyDescent="0.25">
      <c r="B14" s="135" t="s">
        <v>107</v>
      </c>
      <c r="C14" s="154">
        <v>48.331552000000002</v>
      </c>
      <c r="D14" s="154">
        <v>49.334611491367482</v>
      </c>
      <c r="E14" s="154">
        <v>50.999338000000002</v>
      </c>
      <c r="F14" s="154">
        <v>51.569839999999999</v>
      </c>
      <c r="G14" s="154">
        <v>52.512712000000001</v>
      </c>
      <c r="H14" s="154">
        <v>52.516027000000001</v>
      </c>
      <c r="I14" s="154">
        <v>53.095407000000002</v>
      </c>
      <c r="J14" s="154">
        <v>53.625877000000003</v>
      </c>
      <c r="K14" s="154">
        <v>55.117455999999997</v>
      </c>
      <c r="L14" s="154">
        <v>55.469118000000002</v>
      </c>
      <c r="M14" s="154">
        <v>56.094510999999997</v>
      </c>
      <c r="N14" s="154">
        <v>56.213841000000002</v>
      </c>
      <c r="O14" s="154">
        <v>58.337881000000003</v>
      </c>
      <c r="P14" s="154"/>
      <c r="Q14" s="154">
        <f t="shared" si="0"/>
        <v>58.337881000000003</v>
      </c>
      <c r="R14" s="154">
        <v>59.470720999999998</v>
      </c>
      <c r="S14" s="154"/>
      <c r="T14" s="154">
        <f t="shared" si="13"/>
        <v>59.470720999999998</v>
      </c>
      <c r="U14" s="154">
        <v>59.213313999999997</v>
      </c>
      <c r="V14" s="154"/>
      <c r="W14" s="154">
        <f t="shared" si="14"/>
        <v>59.213313999999997</v>
      </c>
      <c r="X14" s="154">
        <v>60.499544</v>
      </c>
      <c r="Y14" s="154"/>
      <c r="Z14" s="154">
        <f t="shared" si="15"/>
        <v>60.499544</v>
      </c>
      <c r="AA14" s="154">
        <v>62.014960000000002</v>
      </c>
      <c r="AB14" s="154">
        <v>62.808244999999999</v>
      </c>
      <c r="AC14" s="154">
        <v>64.235461000000001</v>
      </c>
      <c r="AD14" s="154">
        <v>66.436910999999995</v>
      </c>
      <c r="AE14" s="154">
        <v>69.243889999999993</v>
      </c>
      <c r="AF14" s="155">
        <v>51.569839999999999</v>
      </c>
      <c r="AG14" s="154">
        <f>J14</f>
        <v>53.625877000000003</v>
      </c>
      <c r="AH14" s="154">
        <f>N14</f>
        <v>56.213841000000002</v>
      </c>
      <c r="AI14" s="154">
        <f>X14</f>
        <v>60.499544</v>
      </c>
      <c r="AJ14" s="154"/>
      <c r="AK14" s="154">
        <f t="shared" si="16"/>
        <v>60.499544</v>
      </c>
      <c r="AL14" s="154">
        <f>AD14</f>
        <v>66.436910999999995</v>
      </c>
      <c r="AM14" s="207"/>
    </row>
    <row r="15" spans="2:39" s="82" customFormat="1" x14ac:dyDescent="0.25">
      <c r="B15" s="135" t="s">
        <v>134</v>
      </c>
      <c r="C15" s="154">
        <v>2.3555613235794559</v>
      </c>
      <c r="D15" s="154">
        <v>2.3402482932122095</v>
      </c>
      <c r="E15" s="154">
        <v>2.3006648210653151</v>
      </c>
      <c r="F15" s="154">
        <v>2.3259369185286185</v>
      </c>
      <c r="G15" s="154">
        <v>2.2052435565441044</v>
      </c>
      <c r="H15" s="154">
        <v>2.2749297205850163</v>
      </c>
      <c r="I15" s="154">
        <v>2.2862928462209244</v>
      </c>
      <c r="J15" s="154">
        <v>2.1830001009608044</v>
      </c>
      <c r="K15" s="154">
        <v>2.0850416177084932</v>
      </c>
      <c r="L15" s="154">
        <v>2.0279449738024558</v>
      </c>
      <c r="M15" s="154">
        <v>2.2014007688234432</v>
      </c>
      <c r="N15" s="154">
        <v>1.9687493444833024</v>
      </c>
      <c r="O15" s="154">
        <v>1.950196461589057</v>
      </c>
      <c r="P15" s="154"/>
      <c r="Q15" s="154">
        <f t="shared" si="0"/>
        <v>1.950196461589057</v>
      </c>
      <c r="R15" s="154">
        <v>1.8239491055726702</v>
      </c>
      <c r="S15" s="154"/>
      <c r="T15" s="154">
        <f t="shared" si="13"/>
        <v>1.8239491055726702</v>
      </c>
      <c r="U15" s="154">
        <v>1.475623406804462</v>
      </c>
      <c r="V15" s="154"/>
      <c r="W15" s="154">
        <f t="shared" si="14"/>
        <v>1.475623406804462</v>
      </c>
      <c r="X15" s="154">
        <v>1.6685864993159993</v>
      </c>
      <c r="Y15" s="154"/>
      <c r="Z15" s="154">
        <f t="shared" si="15"/>
        <v>1.6685864993159993</v>
      </c>
      <c r="AA15" s="154">
        <v>1.5871513113799705</v>
      </c>
      <c r="AB15" s="154">
        <v>1.4108956622288298</v>
      </c>
      <c r="AC15" s="154">
        <v>1.4471742133110215</v>
      </c>
      <c r="AD15" s="154">
        <v>1.502250924574426</v>
      </c>
      <c r="AE15" s="154">
        <v>1.5519265578824719</v>
      </c>
      <c r="AF15" s="155" t="s">
        <v>110</v>
      </c>
      <c r="AG15" s="154" t="s">
        <v>110</v>
      </c>
      <c r="AH15" s="154" t="s">
        <v>110</v>
      </c>
      <c r="AI15" s="154" t="s">
        <v>110</v>
      </c>
      <c r="AJ15" s="154"/>
      <c r="AK15" s="154" t="str">
        <f t="shared" si="16"/>
        <v>n.a.</v>
      </c>
      <c r="AL15" s="154" t="s">
        <v>110</v>
      </c>
      <c r="AM15" s="208"/>
    </row>
    <row r="16" spans="2:39" s="82" customFormat="1" x14ac:dyDescent="0.25">
      <c r="B16" s="135" t="s">
        <v>135</v>
      </c>
      <c r="C16" s="132">
        <v>580.38164592593319</v>
      </c>
      <c r="D16" s="136">
        <v>565.65173846366145</v>
      </c>
      <c r="E16" s="136">
        <v>521.84086775433957</v>
      </c>
      <c r="F16" s="136">
        <v>540.12413678658231</v>
      </c>
      <c r="G16" s="136">
        <v>515.41650654129444</v>
      </c>
      <c r="H16" s="136">
        <v>520.30500833302506</v>
      </c>
      <c r="I16" s="136">
        <v>511.52610964744576</v>
      </c>
      <c r="J16" s="136">
        <v>515.47612513764011</v>
      </c>
      <c r="K16" s="136">
        <v>538.20351546890117</v>
      </c>
      <c r="L16" s="136">
        <v>543.26358899180423</v>
      </c>
      <c r="M16" s="136">
        <v>531.02239700395</v>
      </c>
      <c r="N16" s="136">
        <v>539.32766260655546</v>
      </c>
      <c r="O16" s="136">
        <v>548.36436913372597</v>
      </c>
      <c r="P16" s="132"/>
      <c r="Q16" s="136">
        <f t="shared" si="0"/>
        <v>548.36436913372597</v>
      </c>
      <c r="R16" s="136">
        <v>520.38328356420902</v>
      </c>
      <c r="S16" s="136"/>
      <c r="T16" s="136">
        <f t="shared" si="13"/>
        <v>520.38328356420902</v>
      </c>
      <c r="U16" s="136">
        <v>489.04504958986246</v>
      </c>
      <c r="V16" s="136"/>
      <c r="W16" s="136">
        <f t="shared" si="14"/>
        <v>489.04504958986246</v>
      </c>
      <c r="X16" s="136">
        <v>497.77281283335304</v>
      </c>
      <c r="Y16" s="136"/>
      <c r="Z16" s="136">
        <f t="shared" si="15"/>
        <v>497.77281283335304</v>
      </c>
      <c r="AA16" s="132">
        <v>499.68125491350958</v>
      </c>
      <c r="AB16" s="132">
        <v>474.72213202251663</v>
      </c>
      <c r="AC16" s="132">
        <v>469.13032329791969</v>
      </c>
      <c r="AD16" s="132">
        <v>471.59560621113195</v>
      </c>
      <c r="AE16" s="132">
        <v>463.74658205753445</v>
      </c>
      <c r="AF16" s="137" t="s">
        <v>110</v>
      </c>
      <c r="AG16" s="132" t="s">
        <v>110</v>
      </c>
      <c r="AH16" s="132" t="s">
        <v>110</v>
      </c>
      <c r="AI16" s="132" t="s">
        <v>110</v>
      </c>
      <c r="AJ16" s="132"/>
      <c r="AK16" s="132" t="str">
        <f t="shared" si="16"/>
        <v>n.a.</v>
      </c>
      <c r="AL16" s="132" t="s">
        <v>110</v>
      </c>
      <c r="AM16" s="208"/>
    </row>
    <row r="17" spans="2:39" s="82" customFormat="1" x14ac:dyDescent="0.25">
      <c r="B17" s="135" t="s">
        <v>126</v>
      </c>
      <c r="C17" s="143">
        <v>5.5288471148958108E-2</v>
      </c>
      <c r="D17" s="143">
        <v>4.3437080618406947E-2</v>
      </c>
      <c r="E17" s="143">
        <v>5.416259038977584E-2</v>
      </c>
      <c r="F17" s="143">
        <v>5.9588602728199692E-2</v>
      </c>
      <c r="G17" s="143">
        <v>4.1042979038407895E-2</v>
      </c>
      <c r="H17" s="143">
        <v>6.1280731933761483E-2</v>
      </c>
      <c r="I17" s="143">
        <v>6.1442116201168143E-2</v>
      </c>
      <c r="J17" s="143">
        <v>6.7769293330466301E-2</v>
      </c>
      <c r="K17" s="143">
        <v>4.2907789114758878E-2</v>
      </c>
      <c r="L17" s="143">
        <v>5.3043310664457333E-2</v>
      </c>
      <c r="M17" s="143">
        <v>5.9216557037598698E-2</v>
      </c>
      <c r="N17" s="143">
        <v>5.3649082127035397E-2</v>
      </c>
      <c r="O17" s="143">
        <v>2.7010803032712159E-2</v>
      </c>
      <c r="P17" s="143"/>
      <c r="Q17" s="143">
        <f t="shared" si="0"/>
        <v>2.7010803032712159E-2</v>
      </c>
      <c r="R17" s="143">
        <v>4.1526322500626905E-2</v>
      </c>
      <c r="S17" s="143"/>
      <c r="T17" s="143">
        <f t="shared" si="13"/>
        <v>4.1526322500626905E-2</v>
      </c>
      <c r="U17" s="143">
        <v>6.6179718274660945E-2</v>
      </c>
      <c r="V17" s="143"/>
      <c r="W17" s="143">
        <f t="shared" si="14"/>
        <v>6.6179718274660945E-2</v>
      </c>
      <c r="X17" s="143">
        <v>5.1452468038145079E-2</v>
      </c>
      <c r="Y17" s="143"/>
      <c r="Z17" s="143">
        <f t="shared" si="15"/>
        <v>5.1452468038145079E-2</v>
      </c>
      <c r="AA17" s="143">
        <v>4.1355217827923459E-2</v>
      </c>
      <c r="AB17" s="143">
        <v>3.6116089151852812E-2</v>
      </c>
      <c r="AC17" s="143">
        <v>4.3045076156704686E-2</v>
      </c>
      <c r="AD17" s="143">
        <v>4.44944704914364E-2</v>
      </c>
      <c r="AE17" s="143">
        <v>3.8408013230995006E-2</v>
      </c>
      <c r="AF17" s="144" t="s">
        <v>110</v>
      </c>
      <c r="AG17" s="143" t="s">
        <v>110</v>
      </c>
      <c r="AH17" s="143" t="s">
        <v>110</v>
      </c>
      <c r="AI17" s="143" t="s">
        <v>110</v>
      </c>
      <c r="AJ17" s="143"/>
      <c r="AK17" s="143" t="str">
        <f t="shared" si="16"/>
        <v>n.a.</v>
      </c>
      <c r="AL17" s="143" t="s">
        <v>110</v>
      </c>
      <c r="AM17" s="208"/>
    </row>
    <row r="18" spans="2:39" s="82" customFormat="1" ht="12" thickBot="1" x14ac:dyDescent="0.3">
      <c r="B18" s="209" t="s">
        <v>127</v>
      </c>
      <c r="C18" s="210">
        <v>304.48247828111852</v>
      </c>
      <c r="D18" s="211">
        <v>291.79235776341801</v>
      </c>
      <c r="E18" s="211">
        <v>421.24697229872999</v>
      </c>
      <c r="F18" s="211">
        <v>463.71090686814023</v>
      </c>
      <c r="G18" s="211">
        <v>465.19291811380384</v>
      </c>
      <c r="H18" s="211">
        <v>508.9817070236565</v>
      </c>
      <c r="I18" s="211">
        <v>573.08870547860874</v>
      </c>
      <c r="J18" s="211">
        <v>672.16701886243993</v>
      </c>
      <c r="K18" s="211">
        <v>820.5565728360757</v>
      </c>
      <c r="L18" s="211">
        <v>950.30145959696176</v>
      </c>
      <c r="M18" s="211">
        <v>1226.676365430895</v>
      </c>
      <c r="N18" s="211">
        <v>1373.3396001591491</v>
      </c>
      <c r="O18" s="211">
        <v>1669.1196194458523</v>
      </c>
      <c r="P18" s="211"/>
      <c r="Q18" s="211">
        <f t="shared" si="0"/>
        <v>1669.1196194458523</v>
      </c>
      <c r="R18" s="211">
        <v>1831.4606681427952</v>
      </c>
      <c r="S18" s="211"/>
      <c r="T18" s="211">
        <f t="shared" si="13"/>
        <v>1831.4606681427952</v>
      </c>
      <c r="U18" s="211">
        <v>2118.5407044136405</v>
      </c>
      <c r="V18" s="211"/>
      <c r="W18" s="211">
        <f t="shared" si="14"/>
        <v>2118.5407044136405</v>
      </c>
      <c r="X18" s="211">
        <v>2527.0497580320034</v>
      </c>
      <c r="Y18" s="211"/>
      <c r="Z18" s="211">
        <f t="shared" si="15"/>
        <v>2527.0497580320034</v>
      </c>
      <c r="AA18" s="211">
        <v>3027.2120912540954</v>
      </c>
      <c r="AB18" s="211">
        <v>3623.8088679884436</v>
      </c>
      <c r="AC18" s="211">
        <v>3940.8973428961694</v>
      </c>
      <c r="AD18" s="211">
        <v>4268.0253794460032</v>
      </c>
      <c r="AE18" s="211">
        <v>4539.1946868213918</v>
      </c>
      <c r="AF18" s="212" t="s">
        <v>110</v>
      </c>
      <c r="AG18" s="213" t="s">
        <v>110</v>
      </c>
      <c r="AH18" s="213" t="s">
        <v>110</v>
      </c>
      <c r="AI18" s="213" t="s">
        <v>110</v>
      </c>
      <c r="AJ18" s="213"/>
      <c r="AK18" s="214" t="str">
        <f t="shared" si="16"/>
        <v>n.a.</v>
      </c>
      <c r="AL18" s="215" t="s">
        <v>110</v>
      </c>
      <c r="AM18" s="208"/>
    </row>
    <row r="19" spans="2:39" s="82" customFormat="1" ht="12" thickTop="1" x14ac:dyDescent="0.25">
      <c r="B19" s="28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7"/>
      <c r="Q19" s="218"/>
      <c r="R19" s="216"/>
      <c r="S19" s="216"/>
      <c r="T19" s="218"/>
      <c r="U19" s="218"/>
      <c r="V19" s="216"/>
      <c r="W19" s="216"/>
      <c r="X19" s="218"/>
      <c r="Y19" s="216"/>
      <c r="Z19" s="216"/>
      <c r="AA19" s="219"/>
      <c r="AB19" s="219"/>
      <c r="AC19" s="219"/>
      <c r="AD19" s="219"/>
      <c r="AE19" s="219"/>
      <c r="AF19" s="220"/>
      <c r="AG19" s="216"/>
      <c r="AH19" s="216"/>
      <c r="AI19" s="216"/>
      <c r="AJ19" s="216"/>
      <c r="AK19" s="216"/>
      <c r="AL19" s="216"/>
      <c r="AM19" s="208"/>
    </row>
    <row r="20" spans="2:39" s="28" customFormat="1" ht="12" thickBot="1" x14ac:dyDescent="0.3">
      <c r="B20" s="36" t="s">
        <v>136</v>
      </c>
      <c r="P20" s="6"/>
      <c r="Q20" s="204"/>
      <c r="T20" s="204"/>
      <c r="W20" s="204"/>
      <c r="Z20" s="204"/>
      <c r="AA20" s="6"/>
      <c r="AB20" s="6"/>
      <c r="AC20" s="6"/>
      <c r="AD20" s="6"/>
      <c r="AE20" s="6"/>
      <c r="AF20" s="221"/>
      <c r="AK20" s="204"/>
      <c r="AL20" s="222"/>
      <c r="AM20" s="223"/>
    </row>
    <row r="21" spans="2:39" ht="12.5" thickTop="1" thickBot="1" x14ac:dyDescent="0.3">
      <c r="B21" s="224" t="s">
        <v>102</v>
      </c>
      <c r="C21" s="180" t="s">
        <v>92</v>
      </c>
      <c r="D21" s="180" t="s">
        <v>93</v>
      </c>
      <c r="E21" s="180" t="s">
        <v>44</v>
      </c>
      <c r="F21" s="180" t="s">
        <v>45</v>
      </c>
      <c r="G21" s="180" t="s">
        <v>46</v>
      </c>
      <c r="H21" s="180" t="s">
        <v>47</v>
      </c>
      <c r="I21" s="180" t="s">
        <v>48</v>
      </c>
      <c r="J21" s="180" t="s">
        <v>49</v>
      </c>
      <c r="K21" s="180" t="s">
        <v>50</v>
      </c>
      <c r="L21" s="180" t="s">
        <v>51</v>
      </c>
      <c r="M21" s="180" t="s">
        <v>52</v>
      </c>
      <c r="N21" s="180" t="s">
        <v>53</v>
      </c>
      <c r="O21" s="180" t="s">
        <v>54</v>
      </c>
      <c r="P21" s="180" t="s">
        <v>55</v>
      </c>
      <c r="Q21" s="180" t="s">
        <v>56</v>
      </c>
      <c r="R21" s="180" t="s">
        <v>57</v>
      </c>
      <c r="S21" s="180" t="s">
        <v>55</v>
      </c>
      <c r="T21" s="180" t="s">
        <v>58</v>
      </c>
      <c r="U21" s="180" t="s">
        <v>59</v>
      </c>
      <c r="V21" s="180" t="s">
        <v>55</v>
      </c>
      <c r="W21" s="180" t="s">
        <v>60</v>
      </c>
      <c r="X21" s="180" t="s">
        <v>61</v>
      </c>
      <c r="Y21" s="180" t="s">
        <v>55</v>
      </c>
      <c r="Z21" s="180" t="s">
        <v>62</v>
      </c>
      <c r="AA21" s="180" t="s">
        <v>7</v>
      </c>
      <c r="AB21" s="180" t="s">
        <v>63</v>
      </c>
      <c r="AC21" s="180" t="s">
        <v>64</v>
      </c>
      <c r="AD21" s="180" t="s">
        <v>65</v>
      </c>
      <c r="AE21" s="180" t="s">
        <v>6</v>
      </c>
      <c r="AF21" s="225" t="s">
        <v>94</v>
      </c>
      <c r="AG21" s="180" t="s">
        <v>67</v>
      </c>
      <c r="AH21" s="180" t="s">
        <v>68</v>
      </c>
      <c r="AI21" s="180" t="s">
        <v>69</v>
      </c>
      <c r="AJ21" s="180" t="s">
        <v>55</v>
      </c>
      <c r="AK21" s="180" t="s">
        <v>70</v>
      </c>
      <c r="AL21" s="180" t="s">
        <v>71</v>
      </c>
      <c r="AM21" s="226"/>
    </row>
    <row r="22" spans="2:39" s="141" customFormat="1" x14ac:dyDescent="0.25">
      <c r="B22" s="135" t="s">
        <v>72</v>
      </c>
      <c r="C22" s="154">
        <v>36.75839601281762</v>
      </c>
      <c r="D22" s="154">
        <v>37.823778630714521</v>
      </c>
      <c r="E22" s="154">
        <v>38.509603847679998</v>
      </c>
      <c r="F22" s="154">
        <v>38.703588307700009</v>
      </c>
      <c r="G22" s="154">
        <v>38.735649666850009</v>
      </c>
      <c r="H22" s="154">
        <v>40.426885572789992</v>
      </c>
      <c r="I22" s="154">
        <v>41.185930369220003</v>
      </c>
      <c r="J22" s="154">
        <v>40.330895405989999</v>
      </c>
      <c r="K22" s="154">
        <v>40.942701134839993</v>
      </c>
      <c r="L22" s="154">
        <v>42.410867338709998</v>
      </c>
      <c r="M22" s="154">
        <v>48.870696692660005</v>
      </c>
      <c r="N22" s="154">
        <v>49.49746055264</v>
      </c>
      <c r="O22" s="154">
        <v>50.536580657179989</v>
      </c>
      <c r="P22" s="154"/>
      <c r="Q22" s="227">
        <f>O22</f>
        <v>50.536580657179989</v>
      </c>
      <c r="R22" s="154">
        <v>51.046551519499999</v>
      </c>
      <c r="S22" s="154"/>
      <c r="T22" s="227">
        <f>R22</f>
        <v>51.046551519499999</v>
      </c>
      <c r="U22" s="154">
        <v>45.446415233479996</v>
      </c>
      <c r="V22" s="154"/>
      <c r="W22" s="227">
        <f>U22</f>
        <v>45.446415233479996</v>
      </c>
      <c r="X22" s="154">
        <v>50.45130055824</v>
      </c>
      <c r="Y22" s="154"/>
      <c r="Z22" s="227">
        <f>X22</f>
        <v>50.45130055824</v>
      </c>
      <c r="AA22" s="154">
        <v>49.28164818954</v>
      </c>
      <c r="AB22" s="154">
        <v>47.054053192749997</v>
      </c>
      <c r="AC22" s="154">
        <v>50.67816035597</v>
      </c>
      <c r="AD22" s="154">
        <v>52.266046530609998</v>
      </c>
      <c r="AE22" s="154">
        <v>55.049841943559997</v>
      </c>
      <c r="AF22" s="155">
        <v>151.79536679891214</v>
      </c>
      <c r="AG22" s="132">
        <f>SUM(G22:J22)</f>
        <v>160.67936101485</v>
      </c>
      <c r="AH22" s="132">
        <f>SUM(K22:N22)</f>
        <v>181.72172571885</v>
      </c>
      <c r="AI22" s="132">
        <f t="shared" ref="AI22:AI24" si="17">SUM(O22,R22,U22,X22)</f>
        <v>197.48084796839998</v>
      </c>
      <c r="AJ22" s="132"/>
      <c r="AK22" s="132">
        <f>AI22</f>
        <v>197.48084796839998</v>
      </c>
      <c r="AL22" s="132">
        <f>SUM(AA22:AD22)</f>
        <v>199.27990826887</v>
      </c>
      <c r="AM22" s="206"/>
    </row>
    <row r="23" spans="2:39" s="82" customFormat="1" x14ac:dyDescent="0.25">
      <c r="B23" s="159" t="s">
        <v>73</v>
      </c>
      <c r="C23" s="154">
        <v>34.747684227905616</v>
      </c>
      <c r="D23" s="154">
        <v>35.745520019864522</v>
      </c>
      <c r="E23" s="154">
        <v>36.096124519569997</v>
      </c>
      <c r="F23" s="154">
        <v>36.229408904020005</v>
      </c>
      <c r="G23" s="154">
        <v>36.19605019243</v>
      </c>
      <c r="H23" s="154">
        <v>37.663185644999999</v>
      </c>
      <c r="I23" s="154">
        <v>38.239905911000001</v>
      </c>
      <c r="J23" s="154">
        <v>37.294103090999997</v>
      </c>
      <c r="K23" s="154">
        <v>37.9</v>
      </c>
      <c r="L23" s="154">
        <v>39.381280293010001</v>
      </c>
      <c r="M23" s="154">
        <v>45.686038722740001</v>
      </c>
      <c r="N23" s="154">
        <v>46.249484386199995</v>
      </c>
      <c r="O23" s="154">
        <v>47.118345746350002</v>
      </c>
      <c r="P23" s="154"/>
      <c r="Q23" s="154">
        <f t="shared" ref="Q23:Q35" si="18">O23</f>
        <v>47.118345746350002</v>
      </c>
      <c r="R23" s="154">
        <v>47.681139386899993</v>
      </c>
      <c r="S23" s="154"/>
      <c r="T23" s="154">
        <f t="shared" ref="T23" si="19">R23</f>
        <v>47.681139386899993</v>
      </c>
      <c r="U23" s="154">
        <v>42.016233343849997</v>
      </c>
      <c r="V23" s="154"/>
      <c r="W23" s="154">
        <f t="shared" ref="W23" si="20">U23</f>
        <v>42.016233343849997</v>
      </c>
      <c r="X23" s="154">
        <v>46.944770478599999</v>
      </c>
      <c r="Y23" s="154"/>
      <c r="Z23" s="154">
        <f t="shared" ref="Z23" si="21">X23</f>
        <v>46.944770478599999</v>
      </c>
      <c r="AA23" s="154">
        <v>45.717437618790001</v>
      </c>
      <c r="AB23" s="154">
        <v>43.427231218220001</v>
      </c>
      <c r="AC23" s="154">
        <v>46.450967185699994</v>
      </c>
      <c r="AD23" s="154">
        <v>47.771359237550001</v>
      </c>
      <c r="AE23" s="154">
        <v>50.423658077390002</v>
      </c>
      <c r="AF23" s="155">
        <v>142.81873767136014</v>
      </c>
      <c r="AG23" s="132">
        <f>SUM(G23:J23)</f>
        <v>149.39324483943</v>
      </c>
      <c r="AH23" s="132">
        <f>SUM(K23:N23)</f>
        <v>169.21680340195002</v>
      </c>
      <c r="AI23" s="132">
        <f t="shared" si="17"/>
        <v>183.76048895569997</v>
      </c>
      <c r="AJ23" s="132"/>
      <c r="AK23" s="132">
        <f t="shared" ref="AK23" si="22">AI23</f>
        <v>183.76048895569997</v>
      </c>
      <c r="AL23" s="132">
        <f>SUM(AA23:AD23)</f>
        <v>183.36699526025998</v>
      </c>
      <c r="AM23" s="207"/>
    </row>
    <row r="24" spans="2:39" s="82" customFormat="1" x14ac:dyDescent="0.25">
      <c r="B24" s="135" t="s">
        <v>74</v>
      </c>
      <c r="C24" s="154">
        <v>14.240403227638645</v>
      </c>
      <c r="D24" s="154">
        <v>13.635309835789634</v>
      </c>
      <c r="E24" s="154">
        <v>15.386820301160004</v>
      </c>
      <c r="F24" s="154">
        <v>13.509424179460009</v>
      </c>
      <c r="G24" s="154">
        <v>16.187814950259998</v>
      </c>
      <c r="H24" s="154">
        <v>17.49548849684</v>
      </c>
      <c r="I24" s="154">
        <v>21.966708033169997</v>
      </c>
      <c r="J24" s="154">
        <v>18.446365922709997</v>
      </c>
      <c r="K24" s="154">
        <v>19.442255896180004</v>
      </c>
      <c r="L24" s="154">
        <v>20.427659886809998</v>
      </c>
      <c r="M24" s="132">
        <v>23.696243999120004</v>
      </c>
      <c r="N24" s="132">
        <v>23.244395529319998</v>
      </c>
      <c r="O24" s="169">
        <v>25.608628614569998</v>
      </c>
      <c r="P24" s="169">
        <v>1.8280000000000001</v>
      </c>
      <c r="Q24" s="169">
        <f>O24-P24</f>
        <v>23.780628614569999</v>
      </c>
      <c r="R24" s="169">
        <v>27.306004722929991</v>
      </c>
      <c r="S24" s="169">
        <v>1.5609999999999999</v>
      </c>
      <c r="T24" s="169">
        <f>R24-S24</f>
        <v>25.745004722929991</v>
      </c>
      <c r="U24" s="169">
        <v>22.25376961173</v>
      </c>
      <c r="V24" s="169">
        <v>1.6741856980000001</v>
      </c>
      <c r="W24" s="169">
        <f>U24-V24</f>
        <v>20.579583913730001</v>
      </c>
      <c r="X24" s="169">
        <v>24.905614509159999</v>
      </c>
      <c r="Y24" s="169">
        <v>1.8987932156721474</v>
      </c>
      <c r="Z24" s="169">
        <f>X24-Y24</f>
        <v>23.006821293487853</v>
      </c>
      <c r="AA24" s="169">
        <v>22.881065757400002</v>
      </c>
      <c r="AB24" s="169">
        <v>21.676576052100003</v>
      </c>
      <c r="AC24" s="169">
        <v>31.429182578869998</v>
      </c>
      <c r="AD24" s="169">
        <v>23.201163621160003</v>
      </c>
      <c r="AE24" s="169">
        <v>24.73121601007</v>
      </c>
      <c r="AF24" s="155">
        <v>56.771957544048291</v>
      </c>
      <c r="AG24" s="132">
        <f>SUM(G24:J24)</f>
        <v>74.096377402979996</v>
      </c>
      <c r="AH24" s="132">
        <f>SUM(K24:N24)</f>
        <v>86.810555311430008</v>
      </c>
      <c r="AI24" s="132">
        <f t="shared" si="17"/>
        <v>100.07401745839</v>
      </c>
      <c r="AJ24" s="132">
        <f>SUM(P24,S24,V24,Y24)</f>
        <v>6.9619789136721471</v>
      </c>
      <c r="AK24" s="132">
        <f>AI24-AJ24</f>
        <v>93.112038544717862</v>
      </c>
      <c r="AL24" s="132">
        <f>SUM(AA24:AD24)</f>
        <v>99.187988009530002</v>
      </c>
      <c r="AM24" s="207"/>
    </row>
    <row r="25" spans="2:39" s="82" customFormat="1" x14ac:dyDescent="0.25">
      <c r="B25" s="135" t="s">
        <v>75</v>
      </c>
      <c r="C25" s="143">
        <v>0.3874054575905061</v>
      </c>
      <c r="D25" s="143">
        <v>0.36049570744677478</v>
      </c>
      <c r="E25" s="143">
        <v>0.39955800018147886</v>
      </c>
      <c r="F25" s="143">
        <v>0.34904836399296685</v>
      </c>
      <c r="G25" s="143">
        <f t="shared" ref="G25:O25" si="23">G24/G22</f>
        <v>0.41790482641920268</v>
      </c>
      <c r="H25" s="143">
        <f t="shared" si="23"/>
        <v>0.43276864514677427</v>
      </c>
      <c r="I25" s="143">
        <f t="shared" si="23"/>
        <v>0.53335466350389049</v>
      </c>
      <c r="J25" s="143">
        <f t="shared" si="23"/>
        <v>0.45737556126686735</v>
      </c>
      <c r="K25" s="143">
        <f t="shared" si="23"/>
        <v>0.47486500297450357</v>
      </c>
      <c r="L25" s="143">
        <f t="shared" si="23"/>
        <v>0.48166097909921551</v>
      </c>
      <c r="M25" s="143">
        <f t="shared" si="23"/>
        <v>0.48487632881810327</v>
      </c>
      <c r="N25" s="143">
        <f t="shared" si="23"/>
        <v>0.4696078398729131</v>
      </c>
      <c r="O25" s="143">
        <f t="shared" si="23"/>
        <v>0.50673449373808499</v>
      </c>
      <c r="P25" s="143"/>
      <c r="Q25" s="143">
        <f>Q24/Q22</f>
        <v>0.47056267569601318</v>
      </c>
      <c r="R25" s="143">
        <f t="shared" ref="R25" si="24">R24/R22</f>
        <v>0.53492359248790744</v>
      </c>
      <c r="S25" s="143"/>
      <c r="T25" s="143">
        <f>T24/T22</f>
        <v>0.50434366194345748</v>
      </c>
      <c r="U25" s="143">
        <f t="shared" ref="U25" si="25">U24/U22</f>
        <v>0.48967051630809011</v>
      </c>
      <c r="V25" s="143"/>
      <c r="W25" s="143">
        <f>W24/W22</f>
        <v>0.45283184180760627</v>
      </c>
      <c r="X25" s="143">
        <f t="shared" ref="X25" si="26">X24/X22</f>
        <v>0.4936565407349498</v>
      </c>
      <c r="Y25" s="143"/>
      <c r="Z25" s="143">
        <f>Z24/Z22</f>
        <v>0.45602038082108959</v>
      </c>
      <c r="AA25" s="143">
        <f t="shared" ref="AA25:AE25" si="27">AA24/AA22</f>
        <v>0.46429181242879969</v>
      </c>
      <c r="AB25" s="143">
        <f t="shared" si="27"/>
        <v>0.46067393946500429</v>
      </c>
      <c r="AC25" s="143">
        <f t="shared" si="27"/>
        <v>0.62017212854822124</v>
      </c>
      <c r="AD25" s="143">
        <f t="shared" si="27"/>
        <v>0.44390508104668047</v>
      </c>
      <c r="AE25" s="143">
        <f t="shared" si="27"/>
        <v>0.44925135362651447</v>
      </c>
      <c r="AF25" s="144">
        <v>0.37400323040989653</v>
      </c>
      <c r="AG25" s="143">
        <f>AG24/AG22</f>
        <v>0.4611443369888184</v>
      </c>
      <c r="AH25" s="143">
        <f>AH24/AH22</f>
        <v>0.47771148423793086</v>
      </c>
      <c r="AI25" s="143">
        <f t="shared" ref="AI25" si="28">AI24/AI22</f>
        <v>0.50675302687784385</v>
      </c>
      <c r="AJ25" s="143"/>
      <c r="AK25" s="143">
        <f>AK24/AK22</f>
        <v>0.47149908207613755</v>
      </c>
      <c r="AL25" s="143">
        <f>AL24/AL22</f>
        <v>0.4977320035480185</v>
      </c>
      <c r="AM25" s="207"/>
    </row>
    <row r="26" spans="2:39" s="82" customFormat="1" x14ac:dyDescent="0.25">
      <c r="B26" s="135" t="s">
        <v>81</v>
      </c>
      <c r="C26" s="154">
        <v>2.0940272021884323</v>
      </c>
      <c r="D26" s="154">
        <v>5.9474086144738987</v>
      </c>
      <c r="E26" s="154">
        <v>7.5909270760149292</v>
      </c>
      <c r="F26" s="154">
        <v>10.109624582842279</v>
      </c>
      <c r="G26" s="154">
        <v>3.6328674889754446</v>
      </c>
      <c r="H26" s="154">
        <v>37.727965425599429</v>
      </c>
      <c r="I26" s="154">
        <v>8.2050886316343679</v>
      </c>
      <c r="J26" s="154">
        <v>6.6498318734714434</v>
      </c>
      <c r="K26" s="154">
        <v>7.3337596411676271</v>
      </c>
      <c r="L26" s="154">
        <v>6.6715138329999997</v>
      </c>
      <c r="M26" s="154">
        <v>4.0388271409999996</v>
      </c>
      <c r="N26" s="154">
        <v>5.8793261212931176</v>
      </c>
      <c r="O26" s="154">
        <v>7.3722208248800012</v>
      </c>
      <c r="P26" s="154">
        <v>0.15663508500000001</v>
      </c>
      <c r="Q26" s="154">
        <f>O26-P26</f>
        <v>7.2155857398800016</v>
      </c>
      <c r="R26" s="154">
        <v>9.6715517680957923</v>
      </c>
      <c r="S26" s="154">
        <v>-0.11928129699999999</v>
      </c>
      <c r="T26" s="154">
        <f>R26-S26</f>
        <v>9.7908330650957929</v>
      </c>
      <c r="U26" s="154">
        <v>4.8449102565922031</v>
      </c>
      <c r="V26" s="154">
        <v>-0.171638243</v>
      </c>
      <c r="W26" s="154">
        <f>U26-V26</f>
        <v>5.0165484995922034</v>
      </c>
      <c r="X26" s="154">
        <v>10.888837715432011</v>
      </c>
      <c r="Y26" s="154">
        <v>0.97012671363796998</v>
      </c>
      <c r="Z26" s="154">
        <f>X26-Y26</f>
        <v>9.9187110017940405</v>
      </c>
      <c r="AA26" s="154">
        <v>10.830218748065045</v>
      </c>
      <c r="AB26" s="154">
        <v>14.310652745000001</v>
      </c>
      <c r="AC26" s="154">
        <v>3.7065304616099954</v>
      </c>
      <c r="AD26" s="154">
        <v>13.028370025319216</v>
      </c>
      <c r="AE26" s="154">
        <v>14.953583410717332</v>
      </c>
      <c r="AF26" s="155">
        <v>25.74198747551954</v>
      </c>
      <c r="AG26" s="132">
        <f>SUM(G26:J26)</f>
        <v>56.215753419680681</v>
      </c>
      <c r="AH26" s="132">
        <f>SUM(K26:N26)</f>
        <v>23.923426736460744</v>
      </c>
      <c r="AI26" s="132">
        <f t="shared" ref="AI26:AI30" si="29">SUM(O26,R26,U26,X26)</f>
        <v>32.777520565000003</v>
      </c>
      <c r="AJ26" s="132">
        <f>SUM(P26,S26,V26,Y26)</f>
        <v>0.83584225863797001</v>
      </c>
      <c r="AK26" s="132">
        <f>AI26-AJ26</f>
        <v>31.941678306362032</v>
      </c>
      <c r="AL26" s="132">
        <f>SUM(AA26:AD26)</f>
        <v>41.875771979994255</v>
      </c>
      <c r="AM26" s="208"/>
    </row>
    <row r="27" spans="2:39" s="82" customFormat="1" x14ac:dyDescent="0.25">
      <c r="B27" s="135" t="s">
        <v>82</v>
      </c>
      <c r="C27" s="154">
        <v>2.0940272021884323</v>
      </c>
      <c r="D27" s="154">
        <v>5.9474086144738987</v>
      </c>
      <c r="E27" s="154">
        <v>7.5909270760149292</v>
      </c>
      <c r="F27" s="154">
        <v>10.109624582842279</v>
      </c>
      <c r="G27" s="154">
        <v>3.6328674889754446</v>
      </c>
      <c r="H27" s="154">
        <v>6.7774976255994259</v>
      </c>
      <c r="I27" s="154">
        <v>8.2050886316343679</v>
      </c>
      <c r="J27" s="154">
        <v>6.6498318734714434</v>
      </c>
      <c r="K27" s="154">
        <v>7.3337596411676271</v>
      </c>
      <c r="L27" s="154">
        <v>6.6715138329999997</v>
      </c>
      <c r="M27" s="154">
        <v>4.0388271409999996</v>
      </c>
      <c r="N27" s="154">
        <v>5.8793261212931176</v>
      </c>
      <c r="O27" s="154">
        <v>7.3722208248800012</v>
      </c>
      <c r="P27" s="154">
        <f>P26</f>
        <v>0.15663508500000001</v>
      </c>
      <c r="Q27" s="154">
        <f>O27-P27</f>
        <v>7.2155857398800016</v>
      </c>
      <c r="R27" s="154">
        <v>9.6715517680957923</v>
      </c>
      <c r="S27" s="154">
        <f>S26</f>
        <v>-0.11928129699999999</v>
      </c>
      <c r="T27" s="154">
        <f>R27-S27</f>
        <v>9.7908330650957929</v>
      </c>
      <c r="U27" s="154">
        <v>4.8449102565922031</v>
      </c>
      <c r="V27" s="154">
        <f>V26</f>
        <v>-0.171638243</v>
      </c>
      <c r="W27" s="154">
        <f>U27-V27</f>
        <v>5.0165484995922034</v>
      </c>
      <c r="X27" s="154">
        <v>10.888837715432011</v>
      </c>
      <c r="Y27" s="154">
        <f>Y26</f>
        <v>0.97012671363796998</v>
      </c>
      <c r="Z27" s="154">
        <f>X27-Y27</f>
        <v>9.9187110017940405</v>
      </c>
      <c r="AA27" s="154">
        <v>10.830218748065045</v>
      </c>
      <c r="AB27" s="154">
        <v>14.310652745000001</v>
      </c>
      <c r="AC27" s="154">
        <v>3.7065304616099954</v>
      </c>
      <c r="AD27" s="154">
        <v>13.028370025319216</v>
      </c>
      <c r="AE27" s="154">
        <v>14.953583410717332</v>
      </c>
      <c r="AF27" s="155">
        <v>25.74198747551954</v>
      </c>
      <c r="AG27" s="132">
        <f>SUM(G27:J27)</f>
        <v>25.265285619680682</v>
      </c>
      <c r="AH27" s="132">
        <f>SUM(K27:N27)</f>
        <v>23.923426736460744</v>
      </c>
      <c r="AI27" s="132">
        <f t="shared" si="29"/>
        <v>32.777520565000003</v>
      </c>
      <c r="AJ27" s="132">
        <f>AJ26</f>
        <v>0.83584225863797001</v>
      </c>
      <c r="AK27" s="132">
        <f>AI27-AJ27</f>
        <v>31.941678306362032</v>
      </c>
      <c r="AL27" s="132">
        <f>SUM(AA27:AD27)</f>
        <v>41.875771979994255</v>
      </c>
      <c r="AM27" s="208"/>
    </row>
    <row r="28" spans="2:39" s="82" customFormat="1" x14ac:dyDescent="0.25">
      <c r="B28" s="135" t="s">
        <v>101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>
        <v>10.732846857485047</v>
      </c>
      <c r="AB28" s="154">
        <v>13.851802866</v>
      </c>
      <c r="AC28" s="154">
        <v>3.3388174786099953</v>
      </c>
      <c r="AD28" s="154">
        <v>12.272944549604961</v>
      </c>
      <c r="AE28" s="154">
        <v>14.632150031497524</v>
      </c>
      <c r="AF28" s="155"/>
      <c r="AG28" s="132"/>
      <c r="AH28" s="132"/>
      <c r="AI28" s="132"/>
      <c r="AJ28" s="132"/>
      <c r="AK28" s="132"/>
      <c r="AL28" s="140">
        <f>SUM(AA28:AD28)</f>
        <v>40.196411751700005</v>
      </c>
      <c r="AM28" s="208"/>
    </row>
    <row r="29" spans="2:39" s="82" customFormat="1" ht="13.5" x14ac:dyDescent="0.25">
      <c r="B29" s="135" t="s">
        <v>156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>
        <v>10.732846857485047</v>
      </c>
      <c r="AB29" s="154">
        <v>13.851802866</v>
      </c>
      <c r="AC29" s="154">
        <v>3.3388174786099953</v>
      </c>
      <c r="AD29" s="154">
        <v>12.272944549604961</v>
      </c>
      <c r="AE29" s="154">
        <v>14.632150031497524</v>
      </c>
      <c r="AF29" s="155"/>
      <c r="AG29" s="132"/>
      <c r="AH29" s="132"/>
      <c r="AI29" s="132"/>
      <c r="AJ29" s="132"/>
      <c r="AK29" s="132"/>
      <c r="AL29" s="140">
        <f>SUM(AA29:AD29)</f>
        <v>40.196411751700005</v>
      </c>
      <c r="AM29" s="208"/>
    </row>
    <row r="30" spans="2:39" s="82" customFormat="1" x14ac:dyDescent="0.25">
      <c r="B30" s="135" t="s">
        <v>123</v>
      </c>
      <c r="C30" s="154">
        <v>4.0626899403753916</v>
      </c>
      <c r="D30" s="154">
        <v>3.9375195904303637</v>
      </c>
      <c r="E30" s="154">
        <v>4.5851167840000002</v>
      </c>
      <c r="F30" s="154">
        <v>4.9949457820000003</v>
      </c>
      <c r="G30" s="154">
        <v>5.2301685129999997</v>
      </c>
      <c r="H30" s="154">
        <v>5.7583031470000003</v>
      </c>
      <c r="I30" s="154">
        <v>6.3697603770000004</v>
      </c>
      <c r="J30" s="154">
        <v>6.3843198360000004</v>
      </c>
      <c r="K30" s="154">
        <v>7.002671383</v>
      </c>
      <c r="L30" s="154">
        <v>7.8869390552600001</v>
      </c>
      <c r="M30" s="154">
        <v>11.41993406974</v>
      </c>
      <c r="N30" s="154">
        <v>11.920176161000001</v>
      </c>
      <c r="O30" s="154">
        <v>13.598888965</v>
      </c>
      <c r="P30" s="154"/>
      <c r="Q30" s="154">
        <f t="shared" si="18"/>
        <v>13.598888965</v>
      </c>
      <c r="R30" s="154">
        <v>12.521648382</v>
      </c>
      <c r="S30" s="154"/>
      <c r="T30" s="154">
        <f t="shared" ref="T30:T35" si="30">R30</f>
        <v>12.521648382</v>
      </c>
      <c r="U30" s="154">
        <v>14.30258001</v>
      </c>
      <c r="V30" s="154"/>
      <c r="W30" s="154">
        <f t="shared" ref="W30:W35" si="31">U30</f>
        <v>14.30258001</v>
      </c>
      <c r="X30" s="154">
        <v>15.09372316</v>
      </c>
      <c r="Y30" s="154"/>
      <c r="Z30" s="154">
        <f t="shared" ref="Z30:Z35" si="32">X30</f>
        <v>15.09372316</v>
      </c>
      <c r="AA30" s="154">
        <v>15.930276468000001</v>
      </c>
      <c r="AB30" s="154">
        <v>15.975962292</v>
      </c>
      <c r="AC30" s="154">
        <v>17.931348830000001</v>
      </c>
      <c r="AD30" s="154">
        <v>19.127225454000001</v>
      </c>
      <c r="AE30" s="154">
        <v>20.455005191000001</v>
      </c>
      <c r="AF30" s="155">
        <v>17.580272096805757</v>
      </c>
      <c r="AG30" s="132">
        <f>SUM(G30:J30)</f>
        <v>23.742551873</v>
      </c>
      <c r="AH30" s="132">
        <f>SUM(K30:N30)</f>
        <v>38.229720669000002</v>
      </c>
      <c r="AI30" s="132">
        <f t="shared" si="29"/>
        <v>55.516840517000006</v>
      </c>
      <c r="AJ30" s="132"/>
      <c r="AK30" s="132">
        <f t="shared" ref="AK30:AK33" si="33">AI30</f>
        <v>55.516840517000006</v>
      </c>
      <c r="AL30" s="132">
        <f>SUM(AA30:AD30)</f>
        <v>68.964813043999996</v>
      </c>
      <c r="AM30" s="208"/>
    </row>
    <row r="31" spans="2:39" s="82" customFormat="1" x14ac:dyDescent="0.25">
      <c r="B31" s="135" t="s">
        <v>107</v>
      </c>
      <c r="C31" s="154">
        <v>48.331552000000002</v>
      </c>
      <c r="D31" s="154">
        <v>49.334611491367482</v>
      </c>
      <c r="E31" s="154">
        <v>50.999338000000002</v>
      </c>
      <c r="F31" s="154">
        <v>51.569839999999999</v>
      </c>
      <c r="G31" s="154">
        <f t="shared" ref="G31:O31" si="34">G14</f>
        <v>52.512712000000001</v>
      </c>
      <c r="H31" s="154">
        <f t="shared" si="34"/>
        <v>52.516027000000001</v>
      </c>
      <c r="I31" s="154">
        <f t="shared" si="34"/>
        <v>53.095407000000002</v>
      </c>
      <c r="J31" s="154">
        <f t="shared" si="34"/>
        <v>53.625877000000003</v>
      </c>
      <c r="K31" s="154">
        <f t="shared" si="34"/>
        <v>55.117455999999997</v>
      </c>
      <c r="L31" s="154">
        <f t="shared" si="34"/>
        <v>55.469118000000002</v>
      </c>
      <c r="M31" s="154">
        <f t="shared" si="34"/>
        <v>56.094510999999997</v>
      </c>
      <c r="N31" s="154">
        <f t="shared" si="34"/>
        <v>56.213841000000002</v>
      </c>
      <c r="O31" s="154">
        <f t="shared" si="34"/>
        <v>58.337881000000003</v>
      </c>
      <c r="P31" s="154"/>
      <c r="Q31" s="154">
        <f t="shared" si="18"/>
        <v>58.337881000000003</v>
      </c>
      <c r="R31" s="154">
        <f t="shared" ref="R31" si="35">R14</f>
        <v>59.470720999999998</v>
      </c>
      <c r="S31" s="154"/>
      <c r="T31" s="154">
        <f t="shared" si="30"/>
        <v>59.470720999999998</v>
      </c>
      <c r="U31" s="154">
        <f t="shared" ref="U31" si="36">U14</f>
        <v>59.213313999999997</v>
      </c>
      <c r="V31" s="154"/>
      <c r="W31" s="154">
        <f t="shared" si="31"/>
        <v>59.213313999999997</v>
      </c>
      <c r="X31" s="154">
        <f t="shared" ref="X31" si="37">X14</f>
        <v>60.499544</v>
      </c>
      <c r="Y31" s="154"/>
      <c r="Z31" s="154">
        <f t="shared" si="32"/>
        <v>60.499544</v>
      </c>
      <c r="AA31" s="154">
        <f t="shared" ref="AA31:AE31" si="38">AA14</f>
        <v>62.014960000000002</v>
      </c>
      <c r="AB31" s="154">
        <f t="shared" si="38"/>
        <v>62.808244999999999</v>
      </c>
      <c r="AC31" s="154">
        <f t="shared" si="38"/>
        <v>64.235461000000001</v>
      </c>
      <c r="AD31" s="154">
        <f t="shared" si="38"/>
        <v>66.436910999999995</v>
      </c>
      <c r="AE31" s="154">
        <f t="shared" si="38"/>
        <v>69.243889999999993</v>
      </c>
      <c r="AF31" s="155">
        <v>51.569839999999999</v>
      </c>
      <c r="AG31" s="154">
        <f>J31</f>
        <v>53.625877000000003</v>
      </c>
      <c r="AH31" s="154">
        <f>N31</f>
        <v>56.213841000000002</v>
      </c>
      <c r="AI31" s="154">
        <f>X31</f>
        <v>60.499544</v>
      </c>
      <c r="AJ31" s="154"/>
      <c r="AK31" s="154">
        <f t="shared" si="33"/>
        <v>60.499544</v>
      </c>
      <c r="AL31" s="154">
        <f>AD31</f>
        <v>66.436910999999995</v>
      </c>
      <c r="AM31" s="207"/>
    </row>
    <row r="32" spans="2:39" s="82" customFormat="1" x14ac:dyDescent="0.25">
      <c r="B32" s="135" t="s">
        <v>137</v>
      </c>
      <c r="C32" s="228">
        <v>246.73055922595157</v>
      </c>
      <c r="D32" s="228">
        <v>244.96720138588253</v>
      </c>
      <c r="E32" s="228">
        <v>240.82887258055118</v>
      </c>
      <c r="F32" s="228">
        <v>243.70844493212834</v>
      </c>
      <c r="G32" s="228">
        <v>231.10363078869679</v>
      </c>
      <c r="H32" s="228">
        <v>238.43367358718834</v>
      </c>
      <c r="I32" s="229">
        <v>240.9082768254051</v>
      </c>
      <c r="J32" s="229">
        <v>232.38300365026842</v>
      </c>
      <c r="K32" s="229">
        <v>232.15875153314764</v>
      </c>
      <c r="L32" s="229">
        <v>236.85303126706864</v>
      </c>
      <c r="M32" s="154">
        <v>272.25043319891762</v>
      </c>
      <c r="N32" s="154">
        <v>264.80126117542289</v>
      </c>
      <c r="O32" s="154">
        <v>272.44602893209526</v>
      </c>
      <c r="P32" s="154"/>
      <c r="Q32" s="154">
        <f t="shared" si="18"/>
        <v>272.44602893209526</v>
      </c>
      <c r="R32" s="154">
        <v>268.15259212792171</v>
      </c>
      <c r="S32" s="154"/>
      <c r="T32" s="154">
        <f t="shared" si="30"/>
        <v>268.15259212792171</v>
      </c>
      <c r="U32" s="154">
        <v>234.10511030035897</v>
      </c>
      <c r="V32" s="154"/>
      <c r="W32" s="154">
        <f t="shared" si="31"/>
        <v>234.10511030035897</v>
      </c>
      <c r="X32" s="154">
        <v>259.70816632802024</v>
      </c>
      <c r="Y32" s="154"/>
      <c r="Z32" s="154">
        <f t="shared" si="32"/>
        <v>259.70816632802024</v>
      </c>
      <c r="AA32" s="154">
        <v>247.27307549801071</v>
      </c>
      <c r="AB32" s="154">
        <v>230.57211148210251</v>
      </c>
      <c r="AC32" s="154">
        <v>241.80428506863612</v>
      </c>
      <c r="AD32" s="154">
        <v>241.41555384816414</v>
      </c>
      <c r="AE32" s="154">
        <v>245.9918831964541</v>
      </c>
      <c r="AF32" s="137" t="s">
        <v>110</v>
      </c>
      <c r="AG32" s="132" t="s">
        <v>110</v>
      </c>
      <c r="AH32" s="132" t="s">
        <v>110</v>
      </c>
      <c r="AI32" s="132" t="s">
        <v>110</v>
      </c>
      <c r="AJ32" s="132"/>
      <c r="AK32" s="132" t="str">
        <f t="shared" si="33"/>
        <v>n.a.</v>
      </c>
      <c r="AL32" s="132" t="s">
        <v>110</v>
      </c>
      <c r="AM32" s="207"/>
    </row>
    <row r="33" spans="2:39" s="82" customFormat="1" x14ac:dyDescent="0.25">
      <c r="B33" s="135" t="s">
        <v>135</v>
      </c>
      <c r="C33" s="132">
        <v>580.38164592593319</v>
      </c>
      <c r="D33" s="132">
        <v>565.65173846366145</v>
      </c>
      <c r="E33" s="132">
        <v>521.84086775433957</v>
      </c>
      <c r="F33" s="132">
        <v>540.12413678658231</v>
      </c>
      <c r="G33" s="132">
        <f t="shared" ref="G33:O35" si="39">G16</f>
        <v>515.41650654129444</v>
      </c>
      <c r="H33" s="132">
        <f t="shared" si="39"/>
        <v>520.30500833302506</v>
      </c>
      <c r="I33" s="132">
        <f t="shared" si="39"/>
        <v>511.52610964744576</v>
      </c>
      <c r="J33" s="132">
        <f t="shared" si="39"/>
        <v>515.47612513764011</v>
      </c>
      <c r="K33" s="132">
        <f t="shared" si="39"/>
        <v>538.20351546890117</v>
      </c>
      <c r="L33" s="132">
        <f t="shared" si="39"/>
        <v>543.26358899180423</v>
      </c>
      <c r="M33" s="136">
        <f t="shared" si="39"/>
        <v>531.02239700395</v>
      </c>
      <c r="N33" s="136">
        <f t="shared" si="39"/>
        <v>539.32766260655546</v>
      </c>
      <c r="O33" s="136">
        <f t="shared" si="39"/>
        <v>548.36436913372597</v>
      </c>
      <c r="P33" s="136"/>
      <c r="Q33" s="136">
        <f t="shared" si="18"/>
        <v>548.36436913372597</v>
      </c>
      <c r="R33" s="136">
        <f t="shared" ref="R33:R35" si="40">R16</f>
        <v>520.38328356420902</v>
      </c>
      <c r="S33" s="136"/>
      <c r="T33" s="136">
        <f t="shared" si="30"/>
        <v>520.38328356420902</v>
      </c>
      <c r="U33" s="136">
        <f t="shared" ref="U33:U35" si="41">U16</f>
        <v>489.04504958986246</v>
      </c>
      <c r="V33" s="136"/>
      <c r="W33" s="136">
        <f t="shared" si="31"/>
        <v>489.04504958986246</v>
      </c>
      <c r="X33" s="136">
        <f t="shared" ref="X33:X35" si="42">X16</f>
        <v>497.77281283335304</v>
      </c>
      <c r="Y33" s="136"/>
      <c r="Z33" s="136">
        <f t="shared" si="32"/>
        <v>497.77281283335304</v>
      </c>
      <c r="AA33" s="132">
        <f t="shared" ref="AA33:AE35" si="43">AA16</f>
        <v>499.68125491350958</v>
      </c>
      <c r="AB33" s="132">
        <f t="shared" si="43"/>
        <v>474.72213202251663</v>
      </c>
      <c r="AC33" s="132">
        <f t="shared" si="43"/>
        <v>469.13032329791969</v>
      </c>
      <c r="AD33" s="132">
        <f t="shared" si="43"/>
        <v>471.59560621113195</v>
      </c>
      <c r="AE33" s="132">
        <f t="shared" si="43"/>
        <v>463.74658205753445</v>
      </c>
      <c r="AF33" s="137" t="s">
        <v>110</v>
      </c>
      <c r="AG33" s="132" t="s">
        <v>110</v>
      </c>
      <c r="AH33" s="132" t="s">
        <v>110</v>
      </c>
      <c r="AI33" s="132" t="s">
        <v>110</v>
      </c>
      <c r="AJ33" s="132"/>
      <c r="AK33" s="132" t="str">
        <f t="shared" si="33"/>
        <v>n.a.</v>
      </c>
      <c r="AL33" s="132" t="s">
        <v>110</v>
      </c>
      <c r="AM33" s="208"/>
    </row>
    <row r="34" spans="2:39" s="82" customFormat="1" x14ac:dyDescent="0.25">
      <c r="B34" s="135" t="s">
        <v>126</v>
      </c>
      <c r="C34" s="143">
        <v>5.5288471148958108E-2</v>
      </c>
      <c r="D34" s="143">
        <v>4.3437080618406947E-2</v>
      </c>
      <c r="E34" s="143">
        <v>5.416259038977584E-2</v>
      </c>
      <c r="F34" s="143">
        <v>5.9588602728199692E-2</v>
      </c>
      <c r="G34" s="143">
        <f t="shared" si="39"/>
        <v>4.1042979038407895E-2</v>
      </c>
      <c r="H34" s="143">
        <f t="shared" si="39"/>
        <v>6.1280731933761483E-2</v>
      </c>
      <c r="I34" s="143">
        <f t="shared" si="39"/>
        <v>6.1442116201168143E-2</v>
      </c>
      <c r="J34" s="143">
        <f t="shared" si="39"/>
        <v>6.7769293330466301E-2</v>
      </c>
      <c r="K34" s="143">
        <f t="shared" si="39"/>
        <v>4.2907789114758878E-2</v>
      </c>
      <c r="L34" s="143">
        <f t="shared" si="39"/>
        <v>5.3043310664457333E-2</v>
      </c>
      <c r="M34" s="143">
        <f t="shared" si="39"/>
        <v>5.9216557037598698E-2</v>
      </c>
      <c r="N34" s="143">
        <f t="shared" si="39"/>
        <v>5.3649082127035397E-2</v>
      </c>
      <c r="O34" s="143">
        <f t="shared" si="39"/>
        <v>2.7010803032712159E-2</v>
      </c>
      <c r="P34" s="143"/>
      <c r="Q34" s="143">
        <f t="shared" si="18"/>
        <v>2.7010803032712159E-2</v>
      </c>
      <c r="R34" s="143">
        <f t="shared" si="40"/>
        <v>4.1526322500626905E-2</v>
      </c>
      <c r="S34" s="143"/>
      <c r="T34" s="143">
        <f t="shared" si="30"/>
        <v>4.1526322500626905E-2</v>
      </c>
      <c r="U34" s="143">
        <f t="shared" si="41"/>
        <v>6.6179718274660945E-2</v>
      </c>
      <c r="V34" s="143"/>
      <c r="W34" s="143">
        <f t="shared" si="31"/>
        <v>6.6179718274660945E-2</v>
      </c>
      <c r="X34" s="143">
        <f t="shared" si="42"/>
        <v>5.1452468038145079E-2</v>
      </c>
      <c r="Y34" s="143"/>
      <c r="Z34" s="143">
        <f t="shared" si="32"/>
        <v>5.1452468038145079E-2</v>
      </c>
      <c r="AA34" s="143">
        <f t="shared" si="43"/>
        <v>4.1355217827923459E-2</v>
      </c>
      <c r="AB34" s="143">
        <f t="shared" si="43"/>
        <v>3.6116089151852812E-2</v>
      </c>
      <c r="AC34" s="143">
        <f t="shared" si="43"/>
        <v>4.3045076156704686E-2</v>
      </c>
      <c r="AD34" s="143">
        <f t="shared" si="43"/>
        <v>4.44944704914364E-2</v>
      </c>
      <c r="AE34" s="143">
        <f t="shared" si="43"/>
        <v>3.8408013230995006E-2</v>
      </c>
      <c r="AF34" s="144" t="s">
        <v>110</v>
      </c>
      <c r="AG34" s="154" t="str">
        <f t="shared" ref="AG34:AI35" si="44">AG17</f>
        <v>n.a.</v>
      </c>
      <c r="AH34" s="154" t="str">
        <f t="shared" si="44"/>
        <v>n.a.</v>
      </c>
      <c r="AI34" s="154" t="str">
        <f t="shared" si="44"/>
        <v>n.a.</v>
      </c>
      <c r="AJ34" s="154"/>
      <c r="AK34" s="154" t="str">
        <f t="shared" ref="AK34:AL35" si="45">AK17</f>
        <v>n.a.</v>
      </c>
      <c r="AL34" s="154" t="str">
        <f t="shared" si="45"/>
        <v>n.a.</v>
      </c>
      <c r="AM34" s="208"/>
    </row>
    <row r="35" spans="2:39" s="82" customFormat="1" ht="12" thickBot="1" x14ac:dyDescent="0.3">
      <c r="B35" s="209" t="s">
        <v>127</v>
      </c>
      <c r="C35" s="210">
        <v>304.48247828111852</v>
      </c>
      <c r="D35" s="211">
        <v>291.79235776341801</v>
      </c>
      <c r="E35" s="211">
        <v>421.24697229872999</v>
      </c>
      <c r="F35" s="211">
        <v>463.71090686814023</v>
      </c>
      <c r="G35" s="211">
        <f t="shared" si="39"/>
        <v>465.19291811380384</v>
      </c>
      <c r="H35" s="211">
        <f t="shared" si="39"/>
        <v>508.9817070236565</v>
      </c>
      <c r="I35" s="211">
        <f t="shared" si="39"/>
        <v>573.08870547860874</v>
      </c>
      <c r="J35" s="211">
        <f t="shared" si="39"/>
        <v>672.16701886243993</v>
      </c>
      <c r="K35" s="211">
        <f t="shared" si="39"/>
        <v>820.5565728360757</v>
      </c>
      <c r="L35" s="211">
        <f t="shared" si="39"/>
        <v>950.30145959696176</v>
      </c>
      <c r="M35" s="211">
        <f t="shared" si="39"/>
        <v>1226.676365430895</v>
      </c>
      <c r="N35" s="211">
        <f t="shared" si="39"/>
        <v>1373.3396001591491</v>
      </c>
      <c r="O35" s="211">
        <f t="shared" si="39"/>
        <v>1669.1196194458523</v>
      </c>
      <c r="P35" s="211"/>
      <c r="Q35" s="211">
        <f t="shared" si="18"/>
        <v>1669.1196194458523</v>
      </c>
      <c r="R35" s="211">
        <f t="shared" si="40"/>
        <v>1831.4606681427952</v>
      </c>
      <c r="S35" s="211"/>
      <c r="T35" s="211">
        <f t="shared" si="30"/>
        <v>1831.4606681427952</v>
      </c>
      <c r="U35" s="211">
        <f t="shared" si="41"/>
        <v>2118.5407044136405</v>
      </c>
      <c r="V35" s="211"/>
      <c r="W35" s="211">
        <f t="shared" si="31"/>
        <v>2118.5407044136405</v>
      </c>
      <c r="X35" s="211">
        <f t="shared" si="42"/>
        <v>2527.0497580320034</v>
      </c>
      <c r="Y35" s="211"/>
      <c r="Z35" s="211">
        <f t="shared" si="32"/>
        <v>2527.0497580320034</v>
      </c>
      <c r="AA35" s="211">
        <f t="shared" si="43"/>
        <v>3027.2120912540954</v>
      </c>
      <c r="AB35" s="211">
        <f t="shared" si="43"/>
        <v>3623.8088679884436</v>
      </c>
      <c r="AC35" s="211">
        <f t="shared" si="43"/>
        <v>3940.8973428961694</v>
      </c>
      <c r="AD35" s="211">
        <f t="shared" si="43"/>
        <v>4268.0253794460032</v>
      </c>
      <c r="AE35" s="211">
        <f t="shared" si="43"/>
        <v>4539.1946868213918</v>
      </c>
      <c r="AF35" s="230" t="s">
        <v>110</v>
      </c>
      <c r="AG35" s="213" t="str">
        <f t="shared" si="44"/>
        <v>n.a.</v>
      </c>
      <c r="AH35" s="213" t="str">
        <f t="shared" si="44"/>
        <v>n.a.</v>
      </c>
      <c r="AI35" s="213" t="str">
        <f t="shared" si="44"/>
        <v>n.a.</v>
      </c>
      <c r="AJ35" s="213"/>
      <c r="AK35" s="213" t="str">
        <f t="shared" si="45"/>
        <v>n.a.</v>
      </c>
      <c r="AL35" s="213" t="str">
        <f t="shared" si="45"/>
        <v>n.a.</v>
      </c>
      <c r="AM35" s="208"/>
    </row>
    <row r="36" spans="2:39" s="82" customFormat="1" ht="12" thickTop="1" x14ac:dyDescent="0.25">
      <c r="B36" s="141"/>
      <c r="C36" s="231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232"/>
      <c r="AB36" s="232"/>
      <c r="AC36" s="157"/>
      <c r="AD36" s="157"/>
      <c r="AE36" s="157"/>
      <c r="AF36" s="143"/>
      <c r="AG36" s="143"/>
      <c r="AH36" s="143"/>
      <c r="AI36" s="143"/>
      <c r="AJ36" s="143"/>
      <c r="AK36" s="143"/>
      <c r="AL36" s="143"/>
    </row>
    <row r="37" spans="2:39" s="82" customFormat="1" ht="12" thickBot="1" x14ac:dyDescent="0.3">
      <c r="B37" s="187" t="s">
        <v>130</v>
      </c>
      <c r="C37" s="233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5"/>
      <c r="AG37" s="235"/>
      <c r="AH37" s="235"/>
      <c r="AI37" s="235"/>
      <c r="AJ37" s="235"/>
      <c r="AK37" s="235"/>
      <c r="AL37" s="235"/>
    </row>
    <row r="38" spans="2:39" s="82" customFormat="1" x14ac:dyDescent="0.25">
      <c r="B38" s="141" t="s">
        <v>131</v>
      </c>
      <c r="C38" s="160">
        <v>0</v>
      </c>
      <c r="D38" s="160">
        <v>0</v>
      </c>
      <c r="E38" s="160">
        <v>0</v>
      </c>
      <c r="F38" s="160">
        <v>0</v>
      </c>
      <c r="G38" s="160">
        <v>0</v>
      </c>
      <c r="H38" s="160">
        <v>0.11</v>
      </c>
      <c r="I38" s="160">
        <v>0.13</v>
      </c>
      <c r="J38" s="160">
        <v>0.15</v>
      </c>
      <c r="K38" s="160">
        <v>0.24</v>
      </c>
      <c r="L38" s="160">
        <v>0.28000000000000003</v>
      </c>
      <c r="M38" s="160">
        <v>0.31</v>
      </c>
      <c r="N38" s="160">
        <v>0.34</v>
      </c>
      <c r="O38" s="160">
        <v>0.39</v>
      </c>
      <c r="P38" s="157"/>
      <c r="Q38" s="157"/>
      <c r="R38" s="160">
        <v>0.49</v>
      </c>
      <c r="S38" s="157"/>
      <c r="T38" s="157"/>
      <c r="U38" s="160">
        <v>0.49</v>
      </c>
      <c r="V38" s="157"/>
      <c r="W38" s="157"/>
      <c r="X38" s="160">
        <v>0.52</v>
      </c>
      <c r="Y38" s="157"/>
      <c r="Z38" s="157"/>
      <c r="AA38" s="192">
        <v>0.54</v>
      </c>
      <c r="AB38" s="192">
        <v>0.56000000000000005</v>
      </c>
      <c r="AC38" s="192">
        <v>0.56000000000000005</v>
      </c>
      <c r="AD38" s="192">
        <v>0.59</v>
      </c>
      <c r="AE38" s="192">
        <v>0.61</v>
      </c>
      <c r="AF38" s="236" t="s">
        <v>110</v>
      </c>
      <c r="AG38" s="143" t="s">
        <v>110</v>
      </c>
      <c r="AH38" s="143" t="s">
        <v>110</v>
      </c>
      <c r="AI38" s="143" t="s">
        <v>110</v>
      </c>
      <c r="AJ38" s="143"/>
      <c r="AK38" s="143" t="s">
        <v>110</v>
      </c>
      <c r="AL38" s="342">
        <v>0.61</v>
      </c>
    </row>
    <row r="39" spans="2:39" s="82" customFormat="1" ht="12" thickBot="1" x14ac:dyDescent="0.3">
      <c r="B39" s="237" t="s">
        <v>138</v>
      </c>
      <c r="C39" s="238">
        <v>0</v>
      </c>
      <c r="D39" s="238">
        <v>0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0.15</v>
      </c>
      <c r="P39" s="211"/>
      <c r="Q39" s="211"/>
      <c r="R39" s="238">
        <v>0.187</v>
      </c>
      <c r="S39" s="211"/>
      <c r="T39" s="211"/>
      <c r="U39" s="238">
        <v>0.22</v>
      </c>
      <c r="V39" s="211"/>
      <c r="W39" s="211"/>
      <c r="X39" s="238">
        <v>0.25600000000000001</v>
      </c>
      <c r="Y39" s="211"/>
      <c r="Z39" s="211"/>
      <c r="AA39" s="238">
        <v>0.28499999999999998</v>
      </c>
      <c r="AB39" s="238">
        <v>0.30399999999999999</v>
      </c>
      <c r="AC39" s="238">
        <v>0.34560349773157228</v>
      </c>
      <c r="AD39" s="238">
        <v>0.37686989992656339</v>
      </c>
      <c r="AE39" s="238">
        <v>0.41475624780756831</v>
      </c>
      <c r="AF39" s="230" t="s">
        <v>110</v>
      </c>
      <c r="AG39" s="213" t="s">
        <v>110</v>
      </c>
      <c r="AH39" s="213" t="s">
        <v>110</v>
      </c>
      <c r="AI39" s="213" t="s">
        <v>110</v>
      </c>
      <c r="AJ39" s="213"/>
      <c r="AK39" s="213" t="s">
        <v>110</v>
      </c>
      <c r="AL39" s="343">
        <v>0.41475624780756831</v>
      </c>
    </row>
    <row r="40" spans="2:39" s="82" customFormat="1" ht="12" thickTop="1" x14ac:dyDescent="0.25">
      <c r="C40" s="239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40"/>
      <c r="AG40" s="240"/>
      <c r="AH40" s="240"/>
      <c r="AI40" s="240"/>
      <c r="AJ40" s="240"/>
      <c r="AK40" s="240"/>
      <c r="AL40" s="143"/>
    </row>
    <row r="41" spans="2:39" s="82" customFormat="1" ht="25" x14ac:dyDescent="0.25">
      <c r="B41" s="76" t="s">
        <v>157</v>
      </c>
      <c r="C41" s="241"/>
      <c r="D41" s="241"/>
      <c r="E41" s="241"/>
      <c r="F41" s="241"/>
      <c r="G41" s="241"/>
      <c r="H41" s="241"/>
      <c r="I41" s="241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42"/>
      <c r="AC41" s="242"/>
      <c r="AD41" s="242"/>
      <c r="AE41" s="242"/>
      <c r="AF41" s="241"/>
      <c r="AG41" s="28"/>
    </row>
    <row r="42" spans="2:39" s="82" customFormat="1" x14ac:dyDescent="0.25">
      <c r="B42" s="197"/>
      <c r="C42" s="241"/>
      <c r="D42" s="241"/>
      <c r="E42" s="241"/>
      <c r="F42" s="241"/>
      <c r="G42" s="241"/>
      <c r="H42" s="241"/>
      <c r="I42" s="241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41"/>
      <c r="AG42" s="28"/>
    </row>
    <row r="43" spans="2:39" s="82" customFormat="1" x14ac:dyDescent="0.25">
      <c r="B43" s="82" t="s">
        <v>133</v>
      </c>
      <c r="C43" s="241"/>
      <c r="D43" s="28"/>
      <c r="F43" s="132"/>
      <c r="G43" s="132"/>
      <c r="H43" s="132"/>
      <c r="I43" s="132"/>
      <c r="J43" s="132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</row>
    <row r="44" spans="2:39" s="82" customFormat="1" x14ac:dyDescent="0.25">
      <c r="B44" s="241"/>
      <c r="C44" s="241"/>
      <c r="D44" s="28"/>
      <c r="G44" s="132"/>
      <c r="H44" s="132"/>
      <c r="I44" s="132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</row>
    <row r="47" spans="2:39" x14ac:dyDescent="0.25">
      <c r="B47" s="243"/>
    </row>
  </sheetData>
  <hyperlinks>
    <hyperlink ref="B2" location="Index!A1" display="index page" xr:uid="{42D8DDE5-A504-4235-9D4C-E6B8AE7708B5}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EA34-348A-4A0B-AC89-DCB63C315450}">
  <sheetPr>
    <pageSetUpPr fitToPage="1"/>
  </sheetPr>
  <dimension ref="B1:AL52"/>
  <sheetViews>
    <sheetView showGridLines="0" view="pageBreakPreview" zoomScaleNormal="90" zoomScaleSheetLayoutView="100" workbookViewId="0">
      <pane xSplit="2" ySplit="4" topLeftCell="AD5" activePane="bottomRight" state="frozen"/>
      <selection activeCell="K31" sqref="K31"/>
      <selection pane="topRight" activeCell="K31" sqref="K31"/>
      <selection pane="bottomLeft" activeCell="K31" sqref="K31"/>
      <selection pane="bottomRight" activeCell="O1" sqref="O1:Z1048576"/>
    </sheetView>
  </sheetViews>
  <sheetFormatPr defaultColWidth="8.81640625" defaultRowHeight="11.5" outlineLevelCol="1" x14ac:dyDescent="0.25"/>
  <cols>
    <col min="1" max="1" width="2" style="6" customWidth="1"/>
    <col min="2" max="2" width="55.7265625" style="6" customWidth="1"/>
    <col min="3" max="14" width="10.54296875" style="6" hidden="1" customWidth="1" outlineLevel="1"/>
    <col min="15" max="15" width="10.54296875" style="6" customWidth="1" collapsed="1"/>
    <col min="16" max="31" width="10.54296875" style="6" customWidth="1"/>
    <col min="32" max="33" width="10.54296875" style="6" hidden="1" customWidth="1" outlineLevel="1"/>
    <col min="34" max="34" width="8.81640625" style="6" hidden="1" customWidth="1" outlineLevel="1"/>
    <col min="35" max="35" width="8.81640625" style="6" customWidth="1" collapsed="1"/>
    <col min="36" max="37" width="8.81640625" style="6" customWidth="1"/>
    <col min="38" max="16384" width="8.81640625" style="6"/>
  </cols>
  <sheetData>
    <row r="1" spans="2:38" s="245" customFormat="1" x14ac:dyDescent="0.25">
      <c r="B1" s="30" t="s">
        <v>20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</row>
    <row r="2" spans="2:38" s="245" customFormat="1" x14ac:dyDescent="0.25">
      <c r="B2" s="34" t="s">
        <v>39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244"/>
      <c r="AG2" s="244"/>
    </row>
    <row r="3" spans="2:38" s="245" customFormat="1" ht="12" thickBot="1" x14ac:dyDescent="0.3">
      <c r="B3" s="36" t="s">
        <v>40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</row>
    <row r="4" spans="2:38" s="82" customFormat="1" ht="12.5" thickTop="1" thickBot="1" x14ac:dyDescent="0.3">
      <c r="B4" s="38" t="s">
        <v>102</v>
      </c>
      <c r="C4" s="43" t="s">
        <v>92</v>
      </c>
      <c r="D4" s="43" t="s">
        <v>93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180" t="s">
        <v>7</v>
      </c>
      <c r="AB4" s="180" t="s">
        <v>63</v>
      </c>
      <c r="AC4" s="180" t="s">
        <v>64</v>
      </c>
      <c r="AD4" s="180" t="s">
        <v>65</v>
      </c>
      <c r="AE4" s="180" t="s">
        <v>6</v>
      </c>
      <c r="AF4" s="134" t="s">
        <v>94</v>
      </c>
      <c r="AG4" s="43" t="s">
        <v>67</v>
      </c>
      <c r="AH4" s="43" t="s">
        <v>68</v>
      </c>
      <c r="AI4" s="43" t="s">
        <v>69</v>
      </c>
      <c r="AJ4" s="43" t="s">
        <v>55</v>
      </c>
      <c r="AK4" s="43" t="s">
        <v>70</v>
      </c>
      <c r="AL4" s="44" t="s">
        <v>71</v>
      </c>
    </row>
    <row r="5" spans="2:38" s="82" customFormat="1" x14ac:dyDescent="0.25">
      <c r="B5" s="135" t="s">
        <v>72</v>
      </c>
      <c r="C5" s="132">
        <v>278.77506785999998</v>
      </c>
      <c r="D5" s="132">
        <v>250.61802137000001</v>
      </c>
      <c r="E5" s="132">
        <v>264.20582243000001</v>
      </c>
      <c r="F5" s="132">
        <v>246.32755818999996</v>
      </c>
      <c r="G5" s="132">
        <v>231.85540189</v>
      </c>
      <c r="H5" s="132">
        <v>231.52519269999999</v>
      </c>
      <c r="I5" s="132">
        <v>238.09423849000001</v>
      </c>
      <c r="J5" s="132">
        <v>213.80128632</v>
      </c>
      <c r="K5" s="132">
        <v>202.62018684</v>
      </c>
      <c r="L5" s="132">
        <v>199.68429603000001</v>
      </c>
      <c r="M5" s="132">
        <v>206.97959701999997</v>
      </c>
      <c r="N5" s="132">
        <v>203.31588680000002</v>
      </c>
      <c r="O5" s="132">
        <v>192.15606451999997</v>
      </c>
      <c r="P5" s="132"/>
      <c r="Q5" s="132">
        <f>O5</f>
        <v>192.15606451999997</v>
      </c>
      <c r="R5" s="132">
        <v>187.19031681000001</v>
      </c>
      <c r="S5" s="132"/>
      <c r="T5" s="138">
        <f>R5</f>
        <v>187.19031681000001</v>
      </c>
      <c r="U5" s="132">
        <v>197.24309592000003</v>
      </c>
      <c r="V5" s="132"/>
      <c r="W5" s="132">
        <f>U5</f>
        <v>197.24309592000003</v>
      </c>
      <c r="X5" s="132">
        <v>198.13407723000003</v>
      </c>
      <c r="Y5" s="132"/>
      <c r="Z5" s="138">
        <f>X5</f>
        <v>198.13407723000003</v>
      </c>
      <c r="AA5" s="132">
        <v>185.08727981000001</v>
      </c>
      <c r="AB5" s="132">
        <v>160.36082245</v>
      </c>
      <c r="AC5" s="132">
        <v>173.37349781999998</v>
      </c>
      <c r="AD5" s="132">
        <v>169.93875062000001</v>
      </c>
      <c r="AE5" s="132">
        <v>159.14912636000003</v>
      </c>
      <c r="AF5" s="246">
        <f>SUM(C5:F5)</f>
        <v>1039.9264698499999</v>
      </c>
      <c r="AG5" s="132">
        <f>SUM(G5:J5)</f>
        <v>915.27611940000008</v>
      </c>
      <c r="AH5" s="138">
        <f>SUM(K5:N5)</f>
        <v>812.59996668999997</v>
      </c>
      <c r="AI5" s="138">
        <f>SUM(O5,R5,U5,X5)</f>
        <v>774.72355448000008</v>
      </c>
      <c r="AJ5" s="132"/>
      <c r="AK5" s="138">
        <f>AI5</f>
        <v>774.72355448000008</v>
      </c>
      <c r="AL5" s="140">
        <f>SUM(AA5:AD5)</f>
        <v>688.76035070000012</v>
      </c>
    </row>
    <row r="6" spans="2:38" s="82" customFormat="1" x14ac:dyDescent="0.25">
      <c r="B6" s="159" t="s">
        <v>73</v>
      </c>
      <c r="C6" s="132">
        <v>275.97629846999996</v>
      </c>
      <c r="D6" s="132">
        <v>248.13393131000001</v>
      </c>
      <c r="E6" s="132">
        <v>262.87992754999999</v>
      </c>
      <c r="F6" s="132">
        <v>243.59337522000004</v>
      </c>
      <c r="G6" s="132">
        <v>227.68065216000002</v>
      </c>
      <c r="H6" s="132">
        <v>228.36499753999999</v>
      </c>
      <c r="I6" s="132">
        <v>232.77639293000004</v>
      </c>
      <c r="J6" s="132">
        <v>209.61857398000001</v>
      </c>
      <c r="K6" s="132">
        <v>201.46680766000003</v>
      </c>
      <c r="L6" s="132">
        <v>198.14523045000001</v>
      </c>
      <c r="M6" s="132">
        <v>206.08115232</v>
      </c>
      <c r="N6" s="132">
        <v>195.32477918999999</v>
      </c>
      <c r="O6" s="132">
        <v>191.68388077</v>
      </c>
      <c r="P6" s="132"/>
      <c r="Q6" s="132">
        <f>O6</f>
        <v>191.68388077</v>
      </c>
      <c r="R6" s="132">
        <v>186.62565606000001</v>
      </c>
      <c r="S6" s="132"/>
      <c r="T6" s="132">
        <f>R6</f>
        <v>186.62565606000001</v>
      </c>
      <c r="U6" s="132">
        <v>196.69844040000001</v>
      </c>
      <c r="V6" s="132"/>
      <c r="W6" s="132">
        <f>U6</f>
        <v>196.69844040000001</v>
      </c>
      <c r="X6" s="132">
        <v>194.34923599000001</v>
      </c>
      <c r="Y6" s="132"/>
      <c r="Z6" s="132">
        <f>X6</f>
        <v>194.34923599000001</v>
      </c>
      <c r="AA6" s="132">
        <v>184.06097610999998</v>
      </c>
      <c r="AB6" s="132">
        <v>159.28004862999998</v>
      </c>
      <c r="AC6" s="132">
        <v>172.39972401999998</v>
      </c>
      <c r="AD6" s="132">
        <v>168.76085718000002</v>
      </c>
      <c r="AE6" s="132">
        <v>158.60554411000001</v>
      </c>
      <c r="AF6" s="137">
        <f>SUM(C6:F6)</f>
        <v>1030.58353255</v>
      </c>
      <c r="AG6" s="132">
        <f>SUM(G6:J6)</f>
        <v>898.44061661000001</v>
      </c>
      <c r="AH6" s="132">
        <f>SUM(K6:N6)</f>
        <v>801.01796962000003</v>
      </c>
      <c r="AI6" s="132">
        <f t="shared" ref="AI6:AI7" si="0">SUM(O6,R6,U6,X6)</f>
        <v>769.35721322000006</v>
      </c>
      <c r="AJ6" s="132"/>
      <c r="AK6" s="132">
        <f t="shared" ref="AK6" si="1">AI6</f>
        <v>769.35721322000006</v>
      </c>
      <c r="AL6" s="140">
        <f>SUM(AA6:AD6)</f>
        <v>684.50160593999999</v>
      </c>
    </row>
    <row r="7" spans="2:38" s="82" customFormat="1" x14ac:dyDescent="0.25">
      <c r="B7" s="135" t="s">
        <v>74</v>
      </c>
      <c r="C7" s="132">
        <v>158.27502197999999</v>
      </c>
      <c r="D7" s="132">
        <v>128.07728310000002</v>
      </c>
      <c r="E7" s="132">
        <v>135.46558626999999</v>
      </c>
      <c r="F7" s="132">
        <v>125.28403463999997</v>
      </c>
      <c r="G7" s="132">
        <v>114.12243373999998</v>
      </c>
      <c r="H7" s="132">
        <v>104.45613017000001</v>
      </c>
      <c r="I7" s="132">
        <v>115.46672205000003</v>
      </c>
      <c r="J7" s="132">
        <v>91.658047499999995</v>
      </c>
      <c r="K7" s="132">
        <v>90.905096870000008</v>
      </c>
      <c r="L7" s="132">
        <v>86.740125200000008</v>
      </c>
      <c r="M7" s="132">
        <v>92.876599270000014</v>
      </c>
      <c r="N7" s="132">
        <v>92.971555499999994</v>
      </c>
      <c r="O7" s="132">
        <v>88.930346709999995</v>
      </c>
      <c r="P7" s="132">
        <v>7.9537440868511462</v>
      </c>
      <c r="Q7" s="132">
        <f>O7-P7</f>
        <v>80.97660262314885</v>
      </c>
      <c r="R7" s="132">
        <v>83.550632959999987</v>
      </c>
      <c r="S7" s="132">
        <v>9.0167513823584535</v>
      </c>
      <c r="T7" s="132">
        <f>R7-S7</f>
        <v>74.533881577641537</v>
      </c>
      <c r="U7" s="132">
        <v>89.239120930000013</v>
      </c>
      <c r="V7" s="132">
        <v>8.1138566642404797</v>
      </c>
      <c r="W7" s="132">
        <f>U7-V7</f>
        <v>81.12526426575954</v>
      </c>
      <c r="X7" s="132">
        <v>92.301946650000005</v>
      </c>
      <c r="Y7" s="132">
        <v>9.1282362910502748</v>
      </c>
      <c r="Z7" s="132">
        <f>X7-Y7</f>
        <v>83.173710358949734</v>
      </c>
      <c r="AA7" s="132">
        <v>80.75358743000001</v>
      </c>
      <c r="AB7" s="132">
        <v>64.17820811</v>
      </c>
      <c r="AC7" s="132">
        <v>79.040445889999987</v>
      </c>
      <c r="AD7" s="132">
        <v>78.274380199999996</v>
      </c>
      <c r="AE7" s="132">
        <v>67.939599300000012</v>
      </c>
      <c r="AF7" s="137">
        <f>SUM(C7:F7)</f>
        <v>547.10192598999993</v>
      </c>
      <c r="AG7" s="132">
        <f>SUM(G7:J7)</f>
        <v>425.70333346000001</v>
      </c>
      <c r="AH7" s="132">
        <f>SUM(K7:N7)</f>
        <v>363.49337684</v>
      </c>
      <c r="AI7" s="132">
        <f t="shared" si="0"/>
        <v>354.02204725000001</v>
      </c>
      <c r="AJ7" s="132">
        <f>SUM(P7,S7,V7,Y7)</f>
        <v>34.212588424500353</v>
      </c>
      <c r="AK7" s="132">
        <f>AI7-AJ7</f>
        <v>319.80945882549963</v>
      </c>
      <c r="AL7" s="140">
        <f>SUM(AA7:AD7)</f>
        <v>302.24662162999999</v>
      </c>
    </row>
    <row r="8" spans="2:38" s="82" customFormat="1" x14ac:dyDescent="0.25">
      <c r="B8" s="135" t="s">
        <v>75</v>
      </c>
      <c r="C8" s="143">
        <f t="shared" ref="C8:O8" si="2">C7/C5</f>
        <v>0.56775171178322603</v>
      </c>
      <c r="D8" s="143">
        <f t="shared" si="2"/>
        <v>0.51104578353889829</v>
      </c>
      <c r="E8" s="143">
        <f t="shared" si="2"/>
        <v>0.51272748277866176</v>
      </c>
      <c r="F8" s="143">
        <f t="shared" si="2"/>
        <v>0.50860746382004307</v>
      </c>
      <c r="G8" s="143">
        <f t="shared" si="2"/>
        <v>0.49221382296774563</v>
      </c>
      <c r="H8" s="143">
        <f t="shared" si="2"/>
        <v>0.45116528768145592</v>
      </c>
      <c r="I8" s="143">
        <f t="shared" si="2"/>
        <v>0.484962268647461</v>
      </c>
      <c r="J8" s="143">
        <f t="shared" si="2"/>
        <v>0.42870671677257283</v>
      </c>
      <c r="K8" s="143">
        <f t="shared" si="2"/>
        <v>0.44864777931422822</v>
      </c>
      <c r="L8" s="143">
        <f t="shared" si="2"/>
        <v>0.43438631341829914</v>
      </c>
      <c r="M8" s="143">
        <f t="shared" si="2"/>
        <v>0.448723452007811</v>
      </c>
      <c r="N8" s="143">
        <f t="shared" si="2"/>
        <v>0.4572763937107151</v>
      </c>
      <c r="O8" s="143">
        <f t="shared" si="2"/>
        <v>0.46280270639464494</v>
      </c>
      <c r="P8" s="143"/>
      <c r="Q8" s="143">
        <f>Q7/Q5</f>
        <v>0.42141060093745131</v>
      </c>
      <c r="R8" s="143">
        <f t="shared" ref="R8" si="3">R7/R5</f>
        <v>0.44634057137049826</v>
      </c>
      <c r="S8" s="143"/>
      <c r="T8" s="143">
        <f>T7/T5</f>
        <v>0.39817167280770271</v>
      </c>
      <c r="U8" s="143">
        <f t="shared" ref="U8" si="4">U7/U5</f>
        <v>0.45243216505887018</v>
      </c>
      <c r="V8" s="143"/>
      <c r="W8" s="143">
        <f>W7/W5</f>
        <v>0.41129583718693602</v>
      </c>
      <c r="X8" s="143">
        <f t="shared" ref="X8" si="5">X7/X5</f>
        <v>0.4658559897440212</v>
      </c>
      <c r="Y8" s="143"/>
      <c r="Z8" s="143">
        <f>Z7/Z5</f>
        <v>0.41978498359168764</v>
      </c>
      <c r="AA8" s="143">
        <f t="shared" ref="AA8:AE8" si="6">AA7/AA5</f>
        <v>0.4363000391647498</v>
      </c>
      <c r="AB8" s="143">
        <f t="shared" si="6"/>
        <v>0.40021126812323854</v>
      </c>
      <c r="AC8" s="143">
        <f t="shared" si="6"/>
        <v>0.45589693282915389</v>
      </c>
      <c r="AD8" s="143">
        <f t="shared" si="6"/>
        <v>0.46060348163338755</v>
      </c>
      <c r="AE8" s="143">
        <f t="shared" si="6"/>
        <v>0.4268926940027219</v>
      </c>
      <c r="AF8" s="144">
        <f>AF7/AF5</f>
        <v>0.52609674034830034</v>
      </c>
      <c r="AG8" s="143">
        <f>AG7/AG5</f>
        <v>0.46510918884135805</v>
      </c>
      <c r="AH8" s="143">
        <f>AH7/AH5</f>
        <v>0.4473214271969933</v>
      </c>
      <c r="AI8" s="143">
        <f t="shared" ref="AI8" si="7">AI7/AI5</f>
        <v>0.45696564303846693</v>
      </c>
      <c r="AJ8" s="143"/>
      <c r="AK8" s="143">
        <f>AK7/AK5</f>
        <v>0.41280461524131407</v>
      </c>
      <c r="AL8" s="145">
        <f>AL7/AL5</f>
        <v>0.43882697562776524</v>
      </c>
    </row>
    <row r="9" spans="2:38" s="82" customFormat="1" x14ac:dyDescent="0.25">
      <c r="B9" s="135" t="s">
        <v>81</v>
      </c>
      <c r="C9" s="132">
        <v>26.924793642399734</v>
      </c>
      <c r="D9" s="132">
        <v>43.148816144944384</v>
      </c>
      <c r="E9" s="132">
        <v>75.951965885261927</v>
      </c>
      <c r="F9" s="132">
        <v>55.930440108794187</v>
      </c>
      <c r="G9" s="132">
        <v>26.469139103654239</v>
      </c>
      <c r="H9" s="132">
        <v>28.788900177195998</v>
      </c>
      <c r="I9" s="132">
        <v>41.873782804073713</v>
      </c>
      <c r="J9" s="132">
        <v>34.634318882851886</v>
      </c>
      <c r="K9" s="132">
        <v>14.164800393653746</v>
      </c>
      <c r="L9" s="132">
        <v>28.205532311124749</v>
      </c>
      <c r="M9" s="132">
        <v>15.953978099086969</v>
      </c>
      <c r="N9" s="132">
        <v>49.141586303356959</v>
      </c>
      <c r="O9" s="132">
        <v>21.490755595262961</v>
      </c>
      <c r="P9" s="132">
        <v>1.8381883708730014</v>
      </c>
      <c r="Q9" s="132">
        <f>O9-P9</f>
        <v>19.652567224389959</v>
      </c>
      <c r="R9" s="132">
        <v>29.034553775240667</v>
      </c>
      <c r="S9" s="154">
        <v>0.42911255464128384</v>
      </c>
      <c r="T9" s="132">
        <f>R9-S9</f>
        <v>28.605441220599385</v>
      </c>
      <c r="U9" s="132">
        <v>22.035459478641904</v>
      </c>
      <c r="V9" s="154">
        <v>0.87576654874417481</v>
      </c>
      <c r="W9" s="132">
        <f>U9-V9</f>
        <v>21.15969292989773</v>
      </c>
      <c r="X9" s="132">
        <v>39.272752115717637</v>
      </c>
      <c r="Y9" s="154">
        <v>0.58988556993549235</v>
      </c>
      <c r="Z9" s="132">
        <f>X9-Y9</f>
        <v>38.682866545782147</v>
      </c>
      <c r="AA9" s="132">
        <v>15.087711410566602</v>
      </c>
      <c r="AB9" s="132">
        <v>23.806483256404587</v>
      </c>
      <c r="AC9" s="132">
        <v>26.466041789492298</v>
      </c>
      <c r="AD9" s="132">
        <v>30.69016265814551</v>
      </c>
      <c r="AE9" s="132">
        <v>39.750811037163658</v>
      </c>
      <c r="AF9" s="137">
        <f>SUM(C9:F9)</f>
        <v>201.95601578140023</v>
      </c>
      <c r="AG9" s="132">
        <f>SUM(G9:J9)</f>
        <v>131.76614096777584</v>
      </c>
      <c r="AH9" s="132">
        <f>SUM(K9:N9)</f>
        <v>107.46589710722242</v>
      </c>
      <c r="AI9" s="132">
        <f t="shared" ref="AI9:AI13" si="8">SUM(O9,R9,U9,X9)</f>
        <v>111.83352096486317</v>
      </c>
      <c r="AJ9" s="132">
        <f>SUM(P9,S9,V9,Y9)</f>
        <v>3.7329530441939527</v>
      </c>
      <c r="AK9" s="132">
        <f>AI9-AJ9</f>
        <v>108.10056792066922</v>
      </c>
      <c r="AL9" s="140">
        <f>SUM(AA9:AD9)</f>
        <v>96.050399114608993</v>
      </c>
    </row>
    <row r="10" spans="2:38" s="82" customFormat="1" x14ac:dyDescent="0.25">
      <c r="B10" s="135" t="s">
        <v>82</v>
      </c>
      <c r="C10" s="132">
        <v>26.924793642399734</v>
      </c>
      <c r="D10" s="132">
        <v>43.148816144944384</v>
      </c>
      <c r="E10" s="132">
        <v>39.364815292550084</v>
      </c>
      <c r="F10" s="132">
        <v>55.930440108794187</v>
      </c>
      <c r="G10" s="132">
        <v>26.469139103654239</v>
      </c>
      <c r="H10" s="132">
        <v>28.788900177195998</v>
      </c>
      <c r="I10" s="132">
        <v>41.873782804073713</v>
      </c>
      <c r="J10" s="132">
        <v>34.634318882851886</v>
      </c>
      <c r="K10" s="132">
        <v>14.164800393653746</v>
      </c>
      <c r="L10" s="132">
        <v>28.205532311124749</v>
      </c>
      <c r="M10" s="132">
        <v>15.953978099086969</v>
      </c>
      <c r="N10" s="132">
        <v>49.141586303356959</v>
      </c>
      <c r="O10" s="132">
        <v>21.490755595262961</v>
      </c>
      <c r="P10" s="132">
        <f>P9</f>
        <v>1.8381883708730014</v>
      </c>
      <c r="Q10" s="132">
        <f>O10-P10</f>
        <v>19.652567224389959</v>
      </c>
      <c r="R10" s="132">
        <v>29.034553775240667</v>
      </c>
      <c r="S10" s="154">
        <f>S9</f>
        <v>0.42911255464128384</v>
      </c>
      <c r="T10" s="132">
        <f>R10-S10</f>
        <v>28.605441220599385</v>
      </c>
      <c r="U10" s="132">
        <v>22.035459478641904</v>
      </c>
      <c r="V10" s="154">
        <f>V9</f>
        <v>0.87576654874417481</v>
      </c>
      <c r="W10" s="132">
        <f>U10-V10</f>
        <v>21.15969292989773</v>
      </c>
      <c r="X10" s="132">
        <v>39.272752115717637</v>
      </c>
      <c r="Y10" s="154">
        <f>Y9</f>
        <v>0.58988556993549235</v>
      </c>
      <c r="Z10" s="132">
        <f>X10-Y10</f>
        <v>38.682866545782147</v>
      </c>
      <c r="AA10" s="132">
        <v>15.087711410566602</v>
      </c>
      <c r="AB10" s="132">
        <v>23.806483256404587</v>
      </c>
      <c r="AC10" s="132">
        <v>26.466041789492298</v>
      </c>
      <c r="AD10" s="132">
        <v>30.69016265814551</v>
      </c>
      <c r="AE10" s="132">
        <v>39.750811037163658</v>
      </c>
      <c r="AF10" s="137">
        <f>SUM(C10:F10)</f>
        <v>165.36886518868837</v>
      </c>
      <c r="AG10" s="132">
        <f>SUM(G10:J10)</f>
        <v>131.76614096777584</v>
      </c>
      <c r="AH10" s="132">
        <f>SUM(K10:N10)</f>
        <v>107.46589710722242</v>
      </c>
      <c r="AI10" s="132">
        <f t="shared" si="8"/>
        <v>111.83352096486317</v>
      </c>
      <c r="AJ10" s="132">
        <f>AJ9</f>
        <v>3.7329530441939527</v>
      </c>
      <c r="AK10" s="132">
        <f>AI10-AJ10</f>
        <v>108.10056792066922</v>
      </c>
      <c r="AL10" s="140">
        <f>SUM(AA10:AD10)</f>
        <v>96.050399114608993</v>
      </c>
    </row>
    <row r="11" spans="2:38" s="82" customFormat="1" x14ac:dyDescent="0.25">
      <c r="B11" s="135" t="s">
        <v>101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54"/>
      <c r="T11" s="132"/>
      <c r="U11" s="132"/>
      <c r="V11" s="154"/>
      <c r="W11" s="132"/>
      <c r="X11" s="132"/>
      <c r="Y11" s="154"/>
      <c r="Z11" s="132"/>
      <c r="AA11" s="132">
        <v>14.744402804977586</v>
      </c>
      <c r="AB11" s="132">
        <v>23.701094268303915</v>
      </c>
      <c r="AC11" s="132">
        <v>25.811991938570856</v>
      </c>
      <c r="AD11" s="132">
        <v>30.399094857376532</v>
      </c>
      <c r="AE11" s="132">
        <v>32.716300587150698</v>
      </c>
      <c r="AF11" s="137"/>
      <c r="AG11" s="132"/>
      <c r="AH11" s="132"/>
      <c r="AI11" s="132"/>
      <c r="AJ11" s="132"/>
      <c r="AK11" s="132"/>
      <c r="AL11" s="140">
        <f>SUM(AA11:AD11)</f>
        <v>94.656583869228882</v>
      </c>
    </row>
    <row r="12" spans="2:38" s="82" customFormat="1" ht="13.5" x14ac:dyDescent="0.25">
      <c r="B12" s="135" t="s">
        <v>156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54"/>
      <c r="T12" s="132"/>
      <c r="U12" s="132"/>
      <c r="V12" s="154"/>
      <c r="W12" s="132"/>
      <c r="X12" s="132"/>
      <c r="Y12" s="154"/>
      <c r="Z12" s="132"/>
      <c r="AA12" s="132">
        <v>14.744402804977586</v>
      </c>
      <c r="AB12" s="132">
        <v>23.701094268303915</v>
      </c>
      <c r="AC12" s="132">
        <v>25.811991938570856</v>
      </c>
      <c r="AD12" s="132">
        <v>30.399094857376532</v>
      </c>
      <c r="AE12" s="132">
        <v>32.716300587150698</v>
      </c>
      <c r="AF12" s="137"/>
      <c r="AG12" s="132"/>
      <c r="AH12" s="132"/>
      <c r="AI12" s="132"/>
      <c r="AJ12" s="132"/>
      <c r="AK12" s="132"/>
      <c r="AL12" s="140">
        <f>SUM(AA12:AD12)</f>
        <v>94.656583869228882</v>
      </c>
    </row>
    <row r="13" spans="2:38" s="82" customFormat="1" x14ac:dyDescent="0.25">
      <c r="B13" s="135" t="s">
        <v>123</v>
      </c>
      <c r="C13" s="154">
        <v>16.19125489</v>
      </c>
      <c r="D13" s="154">
        <v>15.69023323</v>
      </c>
      <c r="E13" s="154">
        <v>19.329661020000003</v>
      </c>
      <c r="F13" s="154">
        <v>21.884834290000001</v>
      </c>
      <c r="G13" s="154">
        <v>25.107771270000004</v>
      </c>
      <c r="H13" s="154">
        <v>29.755102310000002</v>
      </c>
      <c r="I13" s="154">
        <v>29.910700259999999</v>
      </c>
      <c r="J13" s="154">
        <v>28.684865080000002</v>
      </c>
      <c r="K13" s="154">
        <v>43.487004140000003</v>
      </c>
      <c r="L13" s="154">
        <v>50.639775970000002</v>
      </c>
      <c r="M13" s="154">
        <v>47.898664879999998</v>
      </c>
      <c r="N13" s="154">
        <v>46.382954290000001</v>
      </c>
      <c r="O13" s="154">
        <v>52.762667380000003</v>
      </c>
      <c r="P13" s="154"/>
      <c r="Q13" s="154">
        <f t="shared" ref="Q13:Q18" si="9">O13</f>
        <v>52.762667380000003</v>
      </c>
      <c r="R13" s="154">
        <v>53.685292650000001</v>
      </c>
      <c r="S13" s="154"/>
      <c r="T13" s="154">
        <f t="shared" ref="T13:T18" si="10">R13</f>
        <v>53.685292650000001</v>
      </c>
      <c r="U13" s="154">
        <v>60.277996520000002</v>
      </c>
      <c r="V13" s="154"/>
      <c r="W13" s="154">
        <f t="shared" ref="W13:W18" si="11">U13</f>
        <v>60.277996520000002</v>
      </c>
      <c r="X13" s="154">
        <v>64.877967949999999</v>
      </c>
      <c r="Y13" s="154"/>
      <c r="Z13" s="154">
        <f t="shared" ref="Z13:Z18" si="12">X13</f>
        <v>64.877967949999999</v>
      </c>
      <c r="AA13" s="154">
        <v>68.297761550000018</v>
      </c>
      <c r="AB13" s="154">
        <v>62.071706159999998</v>
      </c>
      <c r="AC13" s="154">
        <v>64.853405010000003</v>
      </c>
      <c r="AD13" s="154">
        <v>64.459145880000008</v>
      </c>
      <c r="AE13" s="154">
        <v>64.372243689999991</v>
      </c>
      <c r="AF13" s="155">
        <f>SUM(C13:F13)</f>
        <v>73.095983430000004</v>
      </c>
      <c r="AG13" s="132">
        <f>SUM(G13:J13)</f>
        <v>113.45843892000002</v>
      </c>
      <c r="AH13" s="132">
        <f>SUM(K13:N13)</f>
        <v>188.40839927999997</v>
      </c>
      <c r="AI13" s="132">
        <f t="shared" si="8"/>
        <v>231.60392450000001</v>
      </c>
      <c r="AJ13" s="132"/>
      <c r="AK13" s="132">
        <f t="shared" ref="AK13:AK18" si="13">AI13</f>
        <v>231.60392450000001</v>
      </c>
      <c r="AL13" s="140">
        <f>SUM(AA13:AD13)</f>
        <v>259.68201859999999</v>
      </c>
    </row>
    <row r="14" spans="2:38" s="82" customFormat="1" x14ac:dyDescent="0.25">
      <c r="B14" s="135" t="s">
        <v>107</v>
      </c>
      <c r="C14" s="154">
        <v>16.652937000000001</v>
      </c>
      <c r="D14" s="154">
        <v>16.320250999999999</v>
      </c>
      <c r="E14" s="154">
        <v>15.940804999999999</v>
      </c>
      <c r="F14" s="154">
        <v>16.253174999999999</v>
      </c>
      <c r="G14" s="154">
        <v>16.052555999999999</v>
      </c>
      <c r="H14" s="154">
        <v>15.517837999999999</v>
      </c>
      <c r="I14" s="154">
        <v>15.224119999999999</v>
      </c>
      <c r="J14" s="154">
        <v>14.960917999999999</v>
      </c>
      <c r="K14" s="154">
        <v>15.324812</v>
      </c>
      <c r="L14" s="154">
        <v>15.487069</v>
      </c>
      <c r="M14" s="154">
        <v>15.617815999999999</v>
      </c>
      <c r="N14" s="154">
        <v>15.815427</v>
      </c>
      <c r="O14" s="154">
        <v>16.008099999999999</v>
      </c>
      <c r="P14" s="154"/>
      <c r="Q14" s="154">
        <f t="shared" si="9"/>
        <v>16.008099999999999</v>
      </c>
      <c r="R14" s="154">
        <v>15.554269</v>
      </c>
      <c r="S14" s="154"/>
      <c r="T14" s="154">
        <f t="shared" si="10"/>
        <v>15.554269</v>
      </c>
      <c r="U14" s="154">
        <v>14.951997</v>
      </c>
      <c r="V14" s="154"/>
      <c r="W14" s="154">
        <f t="shared" si="11"/>
        <v>14.951997</v>
      </c>
      <c r="X14" s="154">
        <v>14.604699</v>
      </c>
      <c r="Y14" s="154"/>
      <c r="Z14" s="154">
        <f t="shared" si="12"/>
        <v>14.604699</v>
      </c>
      <c r="AA14" s="154">
        <v>14.178493</v>
      </c>
      <c r="AB14" s="154">
        <v>13.944917</v>
      </c>
      <c r="AC14" s="154">
        <v>14.201098</v>
      </c>
      <c r="AD14" s="154">
        <v>14.137829</v>
      </c>
      <c r="AE14" s="154">
        <v>14.114623999999999</v>
      </c>
      <c r="AF14" s="155">
        <f>F14</f>
        <v>16.253174999999999</v>
      </c>
      <c r="AG14" s="154">
        <f>J14</f>
        <v>14.960917999999999</v>
      </c>
      <c r="AH14" s="154">
        <f>N14</f>
        <v>15.815427</v>
      </c>
      <c r="AI14" s="154">
        <f>X14</f>
        <v>14.604699</v>
      </c>
      <c r="AJ14" s="154"/>
      <c r="AK14" s="154">
        <f t="shared" si="13"/>
        <v>14.604699</v>
      </c>
      <c r="AL14" s="156">
        <f>AD14</f>
        <v>14.137829</v>
      </c>
    </row>
    <row r="15" spans="2:38" s="82" customFormat="1" x14ac:dyDescent="0.25">
      <c r="B15" s="135" t="s">
        <v>134</v>
      </c>
      <c r="C15" s="154">
        <v>5.4400488961306159</v>
      </c>
      <c r="D15" s="154">
        <v>4.9882250954927381</v>
      </c>
      <c r="E15" s="154">
        <v>5.4013378014243143</v>
      </c>
      <c r="F15" s="154">
        <v>5.0184692653719738</v>
      </c>
      <c r="G15" s="154">
        <v>4.667041346110798</v>
      </c>
      <c r="H15" s="154">
        <v>4.7872728548567789</v>
      </c>
      <c r="I15" s="154">
        <v>5.0332905956521481</v>
      </c>
      <c r="J15" s="154">
        <v>4.6037360876162117</v>
      </c>
      <c r="K15" s="154">
        <v>4.4152906186070693</v>
      </c>
      <c r="L15" s="154">
        <v>4.2803319122256767</v>
      </c>
      <c r="M15" s="154">
        <v>4.3904268850375114</v>
      </c>
      <c r="N15" s="154">
        <v>4.1223208329686711</v>
      </c>
      <c r="O15" s="154">
        <v>3.9965342236683359</v>
      </c>
      <c r="P15" s="154"/>
      <c r="Q15" s="154">
        <f t="shared" si="9"/>
        <v>3.9965342236683359</v>
      </c>
      <c r="R15" s="154">
        <v>3.9268828923033836</v>
      </c>
      <c r="S15" s="154"/>
      <c r="T15" s="154">
        <f t="shared" si="10"/>
        <v>3.9268828923033836</v>
      </c>
      <c r="U15" s="154">
        <v>4.2711140393255604</v>
      </c>
      <c r="V15" s="154"/>
      <c r="W15" s="154">
        <f t="shared" si="11"/>
        <v>4.2711140393255604</v>
      </c>
      <c r="X15" s="154">
        <v>4.3701510809372373</v>
      </c>
      <c r="Y15" s="154"/>
      <c r="Z15" s="154">
        <f t="shared" si="12"/>
        <v>4.3701510809372373</v>
      </c>
      <c r="AA15" s="154">
        <v>4.2484736038541753</v>
      </c>
      <c r="AB15" s="154">
        <v>3.7739602366853808</v>
      </c>
      <c r="AC15" s="154">
        <v>4.0781531396185215</v>
      </c>
      <c r="AD15" s="154">
        <v>3.9621929350630194</v>
      </c>
      <c r="AE15" s="154">
        <v>3.7377731932397751</v>
      </c>
      <c r="AF15" s="155" t="s">
        <v>110</v>
      </c>
      <c r="AG15" s="154" t="s">
        <v>110</v>
      </c>
      <c r="AH15" s="154" t="s">
        <v>110</v>
      </c>
      <c r="AI15" s="154" t="s">
        <v>110</v>
      </c>
      <c r="AJ15" s="154"/>
      <c r="AK15" s="154" t="str">
        <f t="shared" si="13"/>
        <v>n.a.</v>
      </c>
      <c r="AL15" s="156" t="s">
        <v>110</v>
      </c>
    </row>
    <row r="16" spans="2:38" s="82" customFormat="1" x14ac:dyDescent="0.25">
      <c r="B16" s="135" t="s">
        <v>135</v>
      </c>
      <c r="C16" s="132">
        <v>351.13667681539391</v>
      </c>
      <c r="D16" s="132">
        <v>338.63939723066301</v>
      </c>
      <c r="E16" s="132">
        <v>334.94645462490604</v>
      </c>
      <c r="F16" s="132">
        <v>323.04603274759899</v>
      </c>
      <c r="G16" s="132">
        <v>364.90622526682841</v>
      </c>
      <c r="H16" s="132">
        <v>378.51823821549033</v>
      </c>
      <c r="I16" s="132">
        <v>414.91444221657798</v>
      </c>
      <c r="J16" s="132">
        <v>429.91147415904089</v>
      </c>
      <c r="K16" s="132">
        <v>437.09628862636259</v>
      </c>
      <c r="L16" s="132">
        <v>447.05011494534659</v>
      </c>
      <c r="M16" s="132">
        <v>447.65467562303047</v>
      </c>
      <c r="N16" s="132">
        <v>437.35463388235189</v>
      </c>
      <c r="O16" s="132">
        <v>419.60934793096106</v>
      </c>
      <c r="P16" s="132"/>
      <c r="Q16" s="132">
        <f t="shared" si="9"/>
        <v>419.60934793096106</v>
      </c>
      <c r="R16" s="132">
        <v>412.52940181180105</v>
      </c>
      <c r="S16" s="132"/>
      <c r="T16" s="132">
        <f t="shared" si="10"/>
        <v>412.52940181180105</v>
      </c>
      <c r="U16" s="132">
        <v>420.59655372659068</v>
      </c>
      <c r="V16" s="132"/>
      <c r="W16" s="132">
        <f t="shared" si="11"/>
        <v>420.59655372659068</v>
      </c>
      <c r="X16" s="132">
        <v>429.84837648971319</v>
      </c>
      <c r="Y16" s="132"/>
      <c r="Z16" s="132">
        <f t="shared" si="12"/>
        <v>429.84837648971319</v>
      </c>
      <c r="AA16" s="132">
        <v>447.82868538493648</v>
      </c>
      <c r="AB16" s="132">
        <v>463.77228966354573</v>
      </c>
      <c r="AC16" s="132">
        <v>488.00147698706195</v>
      </c>
      <c r="AD16" s="132">
        <v>482.31790407088374</v>
      </c>
      <c r="AE16" s="132">
        <v>467.92026455189574</v>
      </c>
      <c r="AF16" s="137" t="s">
        <v>110</v>
      </c>
      <c r="AG16" s="132" t="s">
        <v>110</v>
      </c>
      <c r="AH16" s="132" t="s">
        <v>110</v>
      </c>
      <c r="AI16" s="132" t="s">
        <v>110</v>
      </c>
      <c r="AJ16" s="132"/>
      <c r="AK16" s="132" t="str">
        <f t="shared" si="13"/>
        <v>n.a.</v>
      </c>
      <c r="AL16" s="140" t="s">
        <v>110</v>
      </c>
    </row>
    <row r="17" spans="2:38" s="82" customFormat="1" x14ac:dyDescent="0.25">
      <c r="B17" s="135" t="s">
        <v>126</v>
      </c>
      <c r="C17" s="143">
        <v>0</v>
      </c>
      <c r="D17" s="143">
        <v>9.7958438231692979E-2</v>
      </c>
      <c r="E17" s="143">
        <v>9.4452456856960909E-2</v>
      </c>
      <c r="F17" s="143">
        <v>9.9057525661629911E-2</v>
      </c>
      <c r="G17" s="143">
        <v>9.9037102735734406E-2</v>
      </c>
      <c r="H17" s="143">
        <v>0.10603668741036301</v>
      </c>
      <c r="I17" s="143">
        <v>0.10437734642666548</v>
      </c>
      <c r="J17" s="143">
        <v>0.11010951849721044</v>
      </c>
      <c r="K17" s="143">
        <v>0.10391943664557532</v>
      </c>
      <c r="L17" s="143">
        <v>9.9670383641946428E-2</v>
      </c>
      <c r="M17" s="143">
        <v>9.9152850106984797E-2</v>
      </c>
      <c r="N17" s="143">
        <v>0.11665993228888283</v>
      </c>
      <c r="O17" s="143">
        <v>0.12199527726766426</v>
      </c>
      <c r="P17" s="143"/>
      <c r="Q17" s="143">
        <f t="shared" si="9"/>
        <v>0.12199527726766426</v>
      </c>
      <c r="R17" s="143">
        <v>0.15690602945552026</v>
      </c>
      <c r="S17" s="143"/>
      <c r="T17" s="143">
        <f t="shared" si="10"/>
        <v>0.15690602945552026</v>
      </c>
      <c r="U17" s="143">
        <v>0.15496475379844915</v>
      </c>
      <c r="V17" s="143"/>
      <c r="W17" s="143">
        <f t="shared" si="11"/>
        <v>0.15496475379844915</v>
      </c>
      <c r="X17" s="143">
        <v>0.14161406944808716</v>
      </c>
      <c r="Y17" s="143"/>
      <c r="Z17" s="143">
        <f t="shared" si="12"/>
        <v>0.14161406944808716</v>
      </c>
      <c r="AA17" s="143">
        <v>0.12793369130150681</v>
      </c>
      <c r="AB17" s="143">
        <v>9.0231021060390618E-2</v>
      </c>
      <c r="AC17" s="143">
        <v>5.7400239429986802E-2</v>
      </c>
      <c r="AD17" s="143">
        <v>8.1695118520189555E-2</v>
      </c>
      <c r="AE17" s="143">
        <v>7.2116145100745765E-2</v>
      </c>
      <c r="AF17" s="144" t="s">
        <v>110</v>
      </c>
      <c r="AG17" s="143" t="s">
        <v>110</v>
      </c>
      <c r="AH17" s="143" t="s">
        <v>110</v>
      </c>
      <c r="AI17" s="143" t="s">
        <v>110</v>
      </c>
      <c r="AJ17" s="143"/>
      <c r="AK17" s="143" t="str">
        <f t="shared" si="13"/>
        <v>n.a.</v>
      </c>
      <c r="AL17" s="145" t="s">
        <v>110</v>
      </c>
    </row>
    <row r="18" spans="2:38" s="82" customFormat="1" ht="12" thickBot="1" x14ac:dyDescent="0.3">
      <c r="B18" s="247" t="s">
        <v>113</v>
      </c>
      <c r="C18" s="248">
        <v>295.04810533599158</v>
      </c>
      <c r="D18" s="248">
        <v>303.74978067795888</v>
      </c>
      <c r="E18" s="248">
        <v>345.35810561335762</v>
      </c>
      <c r="F18" s="248">
        <v>447.3268648247136</v>
      </c>
      <c r="G18" s="248">
        <v>573.44512918189355</v>
      </c>
      <c r="H18" s="248">
        <v>478.49067555477467</v>
      </c>
      <c r="I18" s="248">
        <v>514.66407510517013</v>
      </c>
      <c r="J18" s="248">
        <v>561.03008011935788</v>
      </c>
      <c r="K18" s="248">
        <v>1064.8219348552786</v>
      </c>
      <c r="L18" s="248">
        <v>1642.7802334921296</v>
      </c>
      <c r="M18" s="248">
        <v>1822.9153487244205</v>
      </c>
      <c r="N18" s="248">
        <v>2190.6993944173078</v>
      </c>
      <c r="O18" s="248">
        <v>2244.4634216704167</v>
      </c>
      <c r="P18" s="248"/>
      <c r="Q18" s="248">
        <f t="shared" si="9"/>
        <v>2244.4634216704167</v>
      </c>
      <c r="R18" s="248">
        <v>2703.0568472790528</v>
      </c>
      <c r="S18" s="248"/>
      <c r="T18" s="248">
        <f t="shared" si="10"/>
        <v>2703.0568472790528</v>
      </c>
      <c r="U18" s="248">
        <v>3444.336846780257</v>
      </c>
      <c r="V18" s="248"/>
      <c r="W18" s="248">
        <f t="shared" si="11"/>
        <v>3444.336846780257</v>
      </c>
      <c r="X18" s="248">
        <v>3986.4734255802364</v>
      </c>
      <c r="Y18" s="248"/>
      <c r="Z18" s="248">
        <f t="shared" si="12"/>
        <v>3986.4734255802364</v>
      </c>
      <c r="AA18" s="248">
        <v>4574.2098581819855</v>
      </c>
      <c r="AB18" s="248">
        <v>5058.8917724050552</v>
      </c>
      <c r="AC18" s="248">
        <v>4960.9517496394719</v>
      </c>
      <c r="AD18" s="248">
        <v>5104.3340296068318</v>
      </c>
      <c r="AE18" s="248">
        <v>5393.8243557321175</v>
      </c>
      <c r="AF18" s="249" t="s">
        <v>110</v>
      </c>
      <c r="AG18" s="250" t="s">
        <v>110</v>
      </c>
      <c r="AH18" s="250" t="s">
        <v>110</v>
      </c>
      <c r="AI18" s="250" t="s">
        <v>110</v>
      </c>
      <c r="AJ18" s="250"/>
      <c r="AK18" s="250" t="str">
        <f t="shared" si="13"/>
        <v>n.a.</v>
      </c>
      <c r="AL18" s="251" t="s">
        <v>110</v>
      </c>
    </row>
    <row r="19" spans="2:38" s="245" customFormat="1" x14ac:dyDescent="0.25"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3"/>
      <c r="AB19" s="253"/>
      <c r="AC19" s="253"/>
      <c r="AD19" s="253"/>
      <c r="AE19" s="253"/>
      <c r="AF19" s="254"/>
      <c r="AG19" s="252"/>
      <c r="AH19" s="252"/>
      <c r="AI19" s="252"/>
      <c r="AJ19" s="252"/>
      <c r="AK19" s="252"/>
      <c r="AL19" s="252"/>
    </row>
    <row r="20" spans="2:38" s="245" customFormat="1" ht="12" thickBot="1" x14ac:dyDescent="0.3">
      <c r="B20" s="36" t="s">
        <v>139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6"/>
      <c r="R20" s="255"/>
      <c r="S20" s="255"/>
      <c r="T20" s="256"/>
      <c r="U20" s="257"/>
      <c r="V20" s="255"/>
      <c r="W20" s="256"/>
      <c r="X20" s="257"/>
      <c r="Y20" s="255"/>
      <c r="Z20" s="256"/>
      <c r="AA20" s="258"/>
      <c r="AB20" s="258"/>
      <c r="AC20" s="258"/>
      <c r="AD20" s="258"/>
      <c r="AE20" s="258"/>
      <c r="AF20" s="259"/>
      <c r="AG20" s="256"/>
      <c r="AH20" s="256"/>
      <c r="AI20" s="256"/>
      <c r="AJ20" s="256"/>
      <c r="AK20" s="255"/>
      <c r="AL20" s="255"/>
    </row>
    <row r="21" spans="2:38" s="82" customFormat="1" ht="12.5" thickTop="1" thickBot="1" x14ac:dyDescent="0.3">
      <c r="B21" s="38" t="s">
        <v>102</v>
      </c>
      <c r="C21" s="43" t="s">
        <v>92</v>
      </c>
      <c r="D21" s="43" t="s">
        <v>93</v>
      </c>
      <c r="E21" s="43" t="s">
        <v>44</v>
      </c>
      <c r="F21" s="43" t="s">
        <v>45</v>
      </c>
      <c r="G21" s="43" t="s">
        <v>46</v>
      </c>
      <c r="H21" s="43" t="s">
        <v>47</v>
      </c>
      <c r="I21" s="43" t="s">
        <v>48</v>
      </c>
      <c r="J21" s="43" t="s">
        <v>49</v>
      </c>
      <c r="K21" s="43" t="s">
        <v>50</v>
      </c>
      <c r="L21" s="43" t="s">
        <v>51</v>
      </c>
      <c r="M21" s="43" t="s">
        <v>52</v>
      </c>
      <c r="N21" s="43" t="s">
        <v>53</v>
      </c>
      <c r="O21" s="43" t="s">
        <v>54</v>
      </c>
      <c r="P21" s="43" t="s">
        <v>55</v>
      </c>
      <c r="Q21" s="43" t="s">
        <v>56</v>
      </c>
      <c r="R21" s="43" t="s">
        <v>57</v>
      </c>
      <c r="S21" s="43" t="s">
        <v>55</v>
      </c>
      <c r="T21" s="43" t="s">
        <v>58</v>
      </c>
      <c r="U21" s="43" t="s">
        <v>59</v>
      </c>
      <c r="V21" s="43" t="s">
        <v>55</v>
      </c>
      <c r="W21" s="43" t="s">
        <v>60</v>
      </c>
      <c r="X21" s="43" t="s">
        <v>61</v>
      </c>
      <c r="Y21" s="43" t="s">
        <v>55</v>
      </c>
      <c r="Z21" s="43" t="s">
        <v>62</v>
      </c>
      <c r="AA21" s="180" t="s">
        <v>7</v>
      </c>
      <c r="AB21" s="180" t="s">
        <v>63</v>
      </c>
      <c r="AC21" s="180" t="s">
        <v>64</v>
      </c>
      <c r="AD21" s="180" t="s">
        <v>65</v>
      </c>
      <c r="AE21" s="180" t="s">
        <v>6</v>
      </c>
      <c r="AF21" s="134" t="s">
        <v>94</v>
      </c>
      <c r="AG21" s="43" t="s">
        <v>67</v>
      </c>
      <c r="AH21" s="43" t="s">
        <v>68</v>
      </c>
      <c r="AI21" s="43" t="s">
        <v>69</v>
      </c>
      <c r="AJ21" s="43" t="s">
        <v>55</v>
      </c>
      <c r="AK21" s="43" t="s">
        <v>70</v>
      </c>
      <c r="AL21" s="44" t="s">
        <v>71</v>
      </c>
    </row>
    <row r="22" spans="2:38" s="82" customFormat="1" x14ac:dyDescent="0.25">
      <c r="B22" s="135" t="s">
        <v>72</v>
      </c>
      <c r="C22" s="154">
        <v>30.043016476379997</v>
      </c>
      <c r="D22" s="154">
        <v>27.441470238620003</v>
      </c>
      <c r="E22" s="154">
        <v>29.007841980889999</v>
      </c>
      <c r="F22" s="154">
        <v>27.23457453596</v>
      </c>
      <c r="G22" s="154">
        <v>25.486884330160002</v>
      </c>
      <c r="H22" s="154">
        <v>25.257480873309998</v>
      </c>
      <c r="I22" s="154">
        <v>26.177022608390001</v>
      </c>
      <c r="J22" s="154">
        <v>24.535748219389998</v>
      </c>
      <c r="K22" s="154">
        <v>23.114504364920002</v>
      </c>
      <c r="L22" s="154">
        <v>23.11734352329</v>
      </c>
      <c r="M22" s="154">
        <v>24.423010674210001</v>
      </c>
      <c r="N22" s="154">
        <v>24.118287406179999</v>
      </c>
      <c r="O22" s="154">
        <v>22.803041414629998</v>
      </c>
      <c r="P22" s="154"/>
      <c r="Q22" s="227">
        <f>O22</f>
        <v>22.803041414629998</v>
      </c>
      <c r="R22" s="154">
        <v>22.33822258132</v>
      </c>
      <c r="S22" s="154"/>
      <c r="T22" s="227">
        <f>R22</f>
        <v>22.33822258132</v>
      </c>
      <c r="U22" s="154">
        <v>23.628099773220001</v>
      </c>
      <c r="V22" s="154"/>
      <c r="W22" s="227">
        <f>U22</f>
        <v>23.628099773220001</v>
      </c>
      <c r="X22" s="154">
        <v>23.74361457286</v>
      </c>
      <c r="Y22" s="154"/>
      <c r="Z22" s="227">
        <f>X22</f>
        <v>23.74361457286</v>
      </c>
      <c r="AA22" s="154">
        <v>22.315476595099998</v>
      </c>
      <c r="AB22" s="154">
        <v>20.576304509630003</v>
      </c>
      <c r="AC22" s="154">
        <v>22.274560442569999</v>
      </c>
      <c r="AD22" s="154">
        <v>22.034925463759997</v>
      </c>
      <c r="AE22" s="154">
        <v>21.174356045879996</v>
      </c>
      <c r="AF22" s="246">
        <f>SUM(C22:F22)</f>
        <v>113.72690323185</v>
      </c>
      <c r="AG22" s="132">
        <f>SUM(G22:J22)</f>
        <v>101.45713603125</v>
      </c>
      <c r="AH22" s="132">
        <f>SUM(K22:N22)</f>
        <v>94.773145968600005</v>
      </c>
      <c r="AI22" s="132">
        <f t="shared" ref="AI22:AI24" si="14">SUM(O22,R22,U22,X22)</f>
        <v>92.512978342029996</v>
      </c>
      <c r="AJ22" s="132"/>
      <c r="AK22" s="132">
        <f>AI22</f>
        <v>92.512978342029996</v>
      </c>
      <c r="AL22" s="140">
        <f>SUM(AA22:AD22)</f>
        <v>87.201267011059997</v>
      </c>
    </row>
    <row r="23" spans="2:38" s="82" customFormat="1" x14ac:dyDescent="0.25">
      <c r="B23" s="159" t="s">
        <v>73</v>
      </c>
      <c r="C23" s="154">
        <v>29.741821998359999</v>
      </c>
      <c r="D23" s="154">
        <v>27.169870231770002</v>
      </c>
      <c r="E23" s="154">
        <v>28.862275540460001</v>
      </c>
      <c r="F23" s="154">
        <v>26.932275221770002</v>
      </c>
      <c r="G23" s="154">
        <v>25.028043425760004</v>
      </c>
      <c r="H23" s="154">
        <v>24.912655263569999</v>
      </c>
      <c r="I23" s="154">
        <v>25.592638838509998</v>
      </c>
      <c r="J23" s="154">
        <v>24.054900348650001</v>
      </c>
      <c r="K23" s="154">
        <v>22.982898120670001</v>
      </c>
      <c r="L23" s="154">
        <v>22.938790632150003</v>
      </c>
      <c r="M23" s="154">
        <v>24.31703300725</v>
      </c>
      <c r="N23" s="154">
        <v>23.1707430827</v>
      </c>
      <c r="O23" s="154">
        <v>22.747019789949999</v>
      </c>
      <c r="P23" s="154"/>
      <c r="Q23" s="154">
        <f>O23</f>
        <v>22.747019789949999</v>
      </c>
      <c r="R23" s="154">
        <v>22.270802036159999</v>
      </c>
      <c r="S23" s="154"/>
      <c r="T23" s="154">
        <f>R23</f>
        <v>22.270802036159999</v>
      </c>
      <c r="U23" s="154">
        <v>23.562853362460004</v>
      </c>
      <c r="V23" s="154"/>
      <c r="W23" s="154">
        <f>U23</f>
        <v>23.562853362460004</v>
      </c>
      <c r="X23" s="154">
        <v>23.289675010570001</v>
      </c>
      <c r="Y23" s="154"/>
      <c r="Z23" s="154">
        <f>X23</f>
        <v>23.289675010570001</v>
      </c>
      <c r="AA23" s="154">
        <v>22.191641590579998</v>
      </c>
      <c r="AB23" s="154">
        <v>20.437616424950001</v>
      </c>
      <c r="AC23" s="154">
        <v>22.149416116949997</v>
      </c>
      <c r="AD23" s="154">
        <v>21.88227844275</v>
      </c>
      <c r="AE23" s="154">
        <v>21.101998312239999</v>
      </c>
      <c r="AF23" s="137">
        <f>SUM(C23:F23)</f>
        <v>112.70624299236</v>
      </c>
      <c r="AG23" s="132">
        <f>SUM(G23:J23)</f>
        <v>99.588237876490012</v>
      </c>
      <c r="AH23" s="132">
        <f>SUM(K23:N23)</f>
        <v>93.409464842770006</v>
      </c>
      <c r="AI23" s="132">
        <f t="shared" si="14"/>
        <v>91.870350199140006</v>
      </c>
      <c r="AJ23" s="132"/>
      <c r="AK23" s="132">
        <f t="shared" ref="AK23" si="15">AI23</f>
        <v>91.870350199140006</v>
      </c>
      <c r="AL23" s="140">
        <f>SUM(AA23:AD23)</f>
        <v>86.660952575229999</v>
      </c>
    </row>
    <row r="24" spans="2:38" s="260" customFormat="1" x14ac:dyDescent="0.25">
      <c r="B24" s="135" t="s">
        <v>74</v>
      </c>
      <c r="C24" s="154">
        <v>17.060018360220003</v>
      </c>
      <c r="D24" s="154">
        <v>14.018984927650004</v>
      </c>
      <c r="E24" s="154">
        <v>14.868252777550001</v>
      </c>
      <c r="F24" s="154">
        <v>13.850761030409995</v>
      </c>
      <c r="G24" s="154">
        <v>12.545211433400002</v>
      </c>
      <c r="H24" s="154">
        <v>11.399987753020001</v>
      </c>
      <c r="I24" s="154">
        <v>12.696434484419997</v>
      </c>
      <c r="J24" s="154">
        <v>10.514433447229999</v>
      </c>
      <c r="K24" s="154">
        <v>10.370690160020004</v>
      </c>
      <c r="L24" s="154">
        <v>10.038898722730002</v>
      </c>
      <c r="M24" s="154">
        <v>10.959513619500003</v>
      </c>
      <c r="N24" s="154">
        <v>11.02851725675</v>
      </c>
      <c r="O24" s="154">
        <v>10.553337966699997</v>
      </c>
      <c r="P24" s="154">
        <v>0.94385858453000404</v>
      </c>
      <c r="Q24" s="154">
        <f>O24-P24</f>
        <v>9.6094793821699938</v>
      </c>
      <c r="R24" s="154">
        <v>9.9701726184700004</v>
      </c>
      <c r="S24" s="154">
        <v>1.0758614800100021</v>
      </c>
      <c r="T24" s="154">
        <f>R24-S24</f>
        <v>8.8943111384599973</v>
      </c>
      <c r="U24" s="154">
        <v>10.688573956790004</v>
      </c>
      <c r="V24" s="154">
        <v>0.97201283131999827</v>
      </c>
      <c r="W24" s="154">
        <f>U24-V24</f>
        <v>9.7165611254700046</v>
      </c>
      <c r="X24" s="154">
        <v>11.059525633870003</v>
      </c>
      <c r="Y24" s="154">
        <v>1.0936959847899994</v>
      </c>
      <c r="Z24" s="154">
        <f>X24-Y24</f>
        <v>9.9658296490800033</v>
      </c>
      <c r="AA24" s="154">
        <v>9.7344386921100003</v>
      </c>
      <c r="AB24" s="154">
        <v>8.236737347630001</v>
      </c>
      <c r="AC24" s="154">
        <v>10.15547361586</v>
      </c>
      <c r="AD24" s="154">
        <v>10.15557985079</v>
      </c>
      <c r="AE24" s="154">
        <v>9.0389529129900001</v>
      </c>
      <c r="AF24" s="137">
        <f>SUM(C24:F24)</f>
        <v>59.798017095830005</v>
      </c>
      <c r="AG24" s="132">
        <f>SUM(G24:J24)</f>
        <v>47.156067118069998</v>
      </c>
      <c r="AH24" s="132">
        <f>SUM(K24:N24)</f>
        <v>42.397619759000008</v>
      </c>
      <c r="AI24" s="132">
        <f t="shared" si="14"/>
        <v>42.271610175830006</v>
      </c>
      <c r="AJ24" s="132">
        <f>SUM(P24,S24,V24,Y24)</f>
        <v>4.0854288806500039</v>
      </c>
      <c r="AK24" s="132">
        <f>AI24-AJ24</f>
        <v>38.186181295179999</v>
      </c>
      <c r="AL24" s="140">
        <f>SUM(AA24:AD24)</f>
        <v>38.282229506390003</v>
      </c>
    </row>
    <row r="25" spans="2:38" s="82" customFormat="1" x14ac:dyDescent="0.25">
      <c r="B25" s="135" t="s">
        <v>75</v>
      </c>
      <c r="C25" s="143">
        <f t="shared" ref="C25:H25" si="16">C24/C22</f>
        <v>0.56785304410536452</v>
      </c>
      <c r="D25" s="143">
        <f t="shared" si="16"/>
        <v>0.51086857977165734</v>
      </c>
      <c r="E25" s="143">
        <f t="shared" si="16"/>
        <v>0.51255976874615561</v>
      </c>
      <c r="F25" s="143">
        <f t="shared" si="16"/>
        <v>0.50857269725736753</v>
      </c>
      <c r="G25" s="143">
        <f t="shared" si="16"/>
        <v>0.49222224540622167</v>
      </c>
      <c r="H25" s="143">
        <f t="shared" si="16"/>
        <v>0.45135094074510651</v>
      </c>
      <c r="I25" s="261">
        <f>I24/I22</f>
        <v>0.48502210027318621</v>
      </c>
      <c r="J25" s="143">
        <f>J24/J22</f>
        <v>0.42853526834452521</v>
      </c>
      <c r="K25" s="143">
        <f t="shared" ref="K25:O25" si="17">K24/K22</f>
        <v>0.44866591107872522</v>
      </c>
      <c r="L25" s="143">
        <f t="shared" si="17"/>
        <v>0.43425831833212697</v>
      </c>
      <c r="M25" s="143">
        <f t="shared" si="17"/>
        <v>0.44873720794271016</v>
      </c>
      <c r="N25" s="143">
        <f t="shared" si="17"/>
        <v>0.45726784290347605</v>
      </c>
      <c r="O25" s="143">
        <f t="shared" si="17"/>
        <v>0.46280396438385524</v>
      </c>
      <c r="P25" s="143"/>
      <c r="Q25" s="143">
        <f>Q24/Q22</f>
        <v>0.42141217951762938</v>
      </c>
      <c r="R25" s="143">
        <f t="shared" ref="R25" si="18">R24/R22</f>
        <v>0.44632792883026451</v>
      </c>
      <c r="S25" s="143"/>
      <c r="T25" s="143">
        <f>T24/T22</f>
        <v>0.39816557051847673</v>
      </c>
      <c r="U25" s="143">
        <f t="shared" ref="U25" si="19">U24/U22</f>
        <v>0.45236705699475643</v>
      </c>
      <c r="V25" s="143"/>
      <c r="W25" s="143">
        <f>W24/W22</f>
        <v>0.41122905433481866</v>
      </c>
      <c r="X25" s="143">
        <f t="shared" ref="X25" si="20">X24/X22</f>
        <v>0.46578946941429583</v>
      </c>
      <c r="Y25" s="143"/>
      <c r="Z25" s="143">
        <f>Z24/Z22</f>
        <v>0.41972672772709957</v>
      </c>
      <c r="AA25" s="143">
        <f t="shared" ref="AA25:AE25" si="21">AA24/AA22</f>
        <v>0.43621917061128218</v>
      </c>
      <c r="AB25" s="143">
        <f t="shared" si="21"/>
        <v>0.40030207289044983</v>
      </c>
      <c r="AC25" s="143">
        <f t="shared" si="21"/>
        <v>0.45592251492655178</v>
      </c>
      <c r="AD25" s="143">
        <f t="shared" si="21"/>
        <v>0.46088560033899345</v>
      </c>
      <c r="AE25" s="143">
        <f t="shared" si="21"/>
        <v>0.42688206873468326</v>
      </c>
      <c r="AF25" s="144">
        <f>AF24/AF22</f>
        <v>0.52580361723138136</v>
      </c>
      <c r="AG25" s="143">
        <f>AG24/AG22</f>
        <v>0.46478807664692379</v>
      </c>
      <c r="AH25" s="143">
        <f>AH24/AH22</f>
        <v>0.44735899948965585</v>
      </c>
      <c r="AI25" s="143">
        <f t="shared" ref="AI25" si="22">AI24/AI22</f>
        <v>0.45692627059900198</v>
      </c>
      <c r="AJ25" s="143"/>
      <c r="AK25" s="143">
        <f>AK24/AK22</f>
        <v>0.41276566790447239</v>
      </c>
      <c r="AL25" s="145">
        <f>AL24/AL22</f>
        <v>0.43901001463126166</v>
      </c>
    </row>
    <row r="26" spans="2:38" s="82" customFormat="1" x14ac:dyDescent="0.25">
      <c r="B26" s="135" t="s">
        <v>81</v>
      </c>
      <c r="C26" s="154">
        <v>2.8984055768519297</v>
      </c>
      <c r="D26" s="154">
        <v>4.7302799388242907</v>
      </c>
      <c r="E26" s="154">
        <v>8.3322639314853344</v>
      </c>
      <c r="F26" s="154">
        <v>6.1881887872626287</v>
      </c>
      <c r="G26" s="154">
        <v>2.9092391612748916</v>
      </c>
      <c r="H26" s="154">
        <v>3.1362672186487863</v>
      </c>
      <c r="I26" s="154">
        <v>4.6088087023294744</v>
      </c>
      <c r="J26" s="154">
        <v>3.976421533308955</v>
      </c>
      <c r="K26" s="154">
        <v>1.6155749354762055</v>
      </c>
      <c r="L26" s="154">
        <v>3.2713724371452941</v>
      </c>
      <c r="M26" s="154">
        <v>1.8826046290738965</v>
      </c>
      <c r="N26" s="154">
        <v>5.8280043597725752</v>
      </c>
      <c r="O26" s="262">
        <v>2.5492726750000001</v>
      </c>
      <c r="P26" s="262">
        <v>0.21773775100000001</v>
      </c>
      <c r="Q26" s="262">
        <f>O26-P26</f>
        <v>2.3315349240000001</v>
      </c>
      <c r="R26" s="262">
        <v>3.468203731</v>
      </c>
      <c r="S26" s="262">
        <v>5.0880971999999997E-2</v>
      </c>
      <c r="T26" s="262">
        <f>R26-S26</f>
        <v>3.4173227590000002</v>
      </c>
      <c r="U26" s="262">
        <v>2.6389737769999999</v>
      </c>
      <c r="V26" s="262">
        <v>0.104964217</v>
      </c>
      <c r="W26" s="262">
        <f>U26-V26</f>
        <v>2.5340095599999999</v>
      </c>
      <c r="X26" s="262">
        <v>4.7022156093999996</v>
      </c>
      <c r="Y26" s="262">
        <v>7.0697858000000002E-2</v>
      </c>
      <c r="Z26" s="262">
        <f>X26-Y26</f>
        <v>4.6315177513999997</v>
      </c>
      <c r="AA26" s="262">
        <v>1.8160429180962221</v>
      </c>
      <c r="AB26" s="262">
        <v>3.0592799701298037</v>
      </c>
      <c r="AC26" s="262">
        <v>3.4022255511723003</v>
      </c>
      <c r="AD26" s="262">
        <v>3.9939595279869629</v>
      </c>
      <c r="AE26" s="262">
        <v>5.2957280960000004</v>
      </c>
      <c r="AF26" s="137">
        <f>SUM(C26:F26)</f>
        <v>22.149138234424186</v>
      </c>
      <c r="AG26" s="132">
        <f>SUM(G26:J26)</f>
        <v>14.630736615562107</v>
      </c>
      <c r="AH26" s="132">
        <f>SUM(K26:N26)</f>
        <v>12.597556361467971</v>
      </c>
      <c r="AI26" s="132">
        <f t="shared" ref="AI26:AI30" si="23">SUM(O26,R26,U26,X26)</f>
        <v>13.3586657924</v>
      </c>
      <c r="AJ26" s="132">
        <f>SUM(P26,S26,V26,Y26)</f>
        <v>0.44428079800000003</v>
      </c>
      <c r="AK26" s="132">
        <f>AI26-AJ26</f>
        <v>12.914384994400001</v>
      </c>
      <c r="AL26" s="140">
        <f>SUM(AA26:AD26)</f>
        <v>12.27150796738529</v>
      </c>
    </row>
    <row r="27" spans="2:38" s="82" customFormat="1" x14ac:dyDescent="0.25">
      <c r="B27" s="135" t="s">
        <v>82</v>
      </c>
      <c r="C27" s="154">
        <v>2.8984055768519297</v>
      </c>
      <c r="D27" s="154">
        <v>4.7302799388242907</v>
      </c>
      <c r="E27" s="154">
        <v>4.3322639314853344</v>
      </c>
      <c r="F27" s="154">
        <v>6.1881887872626287</v>
      </c>
      <c r="G27" s="154">
        <v>2.9092391612748916</v>
      </c>
      <c r="H27" s="154">
        <v>3.1362672186487863</v>
      </c>
      <c r="I27" s="154">
        <v>4.6088087023294744</v>
      </c>
      <c r="J27" s="154">
        <v>3.976421533308955</v>
      </c>
      <c r="K27" s="154">
        <v>1.6155749354762055</v>
      </c>
      <c r="L27" s="154">
        <v>3.2713724371452941</v>
      </c>
      <c r="M27" s="154">
        <v>1.8826046290738965</v>
      </c>
      <c r="N27" s="154">
        <v>5.8280043597725752</v>
      </c>
      <c r="O27" s="262">
        <v>2.5492726750000001</v>
      </c>
      <c r="P27" s="262">
        <f>P26</f>
        <v>0.21773775100000001</v>
      </c>
      <c r="Q27" s="262">
        <f>O27-P27</f>
        <v>2.3315349240000001</v>
      </c>
      <c r="R27" s="262">
        <v>3.468203731</v>
      </c>
      <c r="S27" s="262">
        <f>S26</f>
        <v>5.0880971999999997E-2</v>
      </c>
      <c r="T27" s="262">
        <f>R27-S27</f>
        <v>3.4173227590000002</v>
      </c>
      <c r="U27" s="262">
        <v>2.6389737769999999</v>
      </c>
      <c r="V27" s="262">
        <f>V26</f>
        <v>0.104964217</v>
      </c>
      <c r="W27" s="262">
        <f>U27-V27</f>
        <v>2.5340095599999999</v>
      </c>
      <c r="X27" s="262">
        <v>4.7022156093999996</v>
      </c>
      <c r="Y27" s="262">
        <f>Y26</f>
        <v>7.0697858000000002E-2</v>
      </c>
      <c r="Z27" s="262">
        <f>X27-Y27</f>
        <v>4.6315177513999997</v>
      </c>
      <c r="AA27" s="262">
        <v>1.8160429180962221</v>
      </c>
      <c r="AB27" s="262">
        <v>3.0592799701298037</v>
      </c>
      <c r="AC27" s="262">
        <v>3.4022255511723003</v>
      </c>
      <c r="AD27" s="262">
        <v>3.9939595279869629</v>
      </c>
      <c r="AE27" s="262">
        <v>5.2957280960000004</v>
      </c>
      <c r="AF27" s="137">
        <f>SUM(C27:F27)</f>
        <v>18.149138234424186</v>
      </c>
      <c r="AG27" s="132">
        <f>SUM(G27:J27)</f>
        <v>14.630736615562107</v>
      </c>
      <c r="AH27" s="132">
        <f>SUM(K27:N27)</f>
        <v>12.597556361467971</v>
      </c>
      <c r="AI27" s="132">
        <f t="shared" si="23"/>
        <v>13.3586657924</v>
      </c>
      <c r="AJ27" s="132">
        <f>AJ26</f>
        <v>0.44428079800000003</v>
      </c>
      <c r="AK27" s="132">
        <f>AI27-AJ27</f>
        <v>12.914384994400001</v>
      </c>
      <c r="AL27" s="140">
        <f>SUM(AA27:AD27)</f>
        <v>12.27150796738529</v>
      </c>
    </row>
    <row r="28" spans="2:38" s="82" customFormat="1" x14ac:dyDescent="0.25">
      <c r="B28" s="135" t="s">
        <v>101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>
        <v>1.7745760870962222</v>
      </c>
      <c r="AB28" s="262">
        <v>3.0456889951298036</v>
      </c>
      <c r="AC28" s="262">
        <v>3.3181869341723003</v>
      </c>
      <c r="AD28" s="262">
        <v>3.9560217489869629</v>
      </c>
      <c r="AE28" s="262">
        <v>4.3566415410000001</v>
      </c>
      <c r="AF28" s="137"/>
      <c r="AG28" s="132"/>
      <c r="AH28" s="132"/>
      <c r="AI28" s="132"/>
      <c r="AJ28" s="132"/>
      <c r="AK28" s="132"/>
      <c r="AL28" s="140">
        <f>SUM(AA28:AD28)</f>
        <v>12.094473765385288</v>
      </c>
    </row>
    <row r="29" spans="2:38" s="82" customFormat="1" ht="13.5" x14ac:dyDescent="0.25">
      <c r="B29" s="135" t="s">
        <v>156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>
        <v>1.7745760870962222</v>
      </c>
      <c r="AB29" s="262">
        <v>3.0456889951298036</v>
      </c>
      <c r="AC29" s="262">
        <v>3.3181869341723003</v>
      </c>
      <c r="AD29" s="262">
        <v>3.9560217489869629</v>
      </c>
      <c r="AE29" s="262">
        <v>4.3566415410000001</v>
      </c>
      <c r="AF29" s="137"/>
      <c r="AG29" s="132"/>
      <c r="AH29" s="132"/>
      <c r="AI29" s="132"/>
      <c r="AJ29" s="132"/>
      <c r="AK29" s="132"/>
      <c r="AL29" s="140">
        <f>SUM(AA29:AD29)</f>
        <v>12.094473765385288</v>
      </c>
    </row>
    <row r="30" spans="2:38" s="82" customFormat="1" x14ac:dyDescent="0.25">
      <c r="B30" s="135" t="s">
        <v>123</v>
      </c>
      <c r="C30" s="154">
        <v>1.7461988250100002</v>
      </c>
      <c r="D30" s="154">
        <v>1.7183701843699999</v>
      </c>
      <c r="E30" s="154">
        <v>2.1216960334299997</v>
      </c>
      <c r="F30" s="154">
        <v>2.41993932374</v>
      </c>
      <c r="G30" s="154">
        <v>2.7598936738400002</v>
      </c>
      <c r="H30" s="154">
        <v>3.2454136791100003</v>
      </c>
      <c r="I30" s="154">
        <v>3.2882880892699999</v>
      </c>
      <c r="J30" s="154">
        <v>3.2921718528600006</v>
      </c>
      <c r="K30" s="154">
        <v>4.9604339741400008</v>
      </c>
      <c r="L30" s="154">
        <v>5.8646173023500001</v>
      </c>
      <c r="M30" s="154">
        <v>5.6505200423700002</v>
      </c>
      <c r="N30" s="154">
        <v>5.5021888995499992</v>
      </c>
      <c r="O30" s="154">
        <v>6.2618908228499999</v>
      </c>
      <c r="P30" s="154"/>
      <c r="Q30" s="154">
        <f t="shared" ref="Q30:Q35" si="24">O30</f>
        <v>6.2618908228499999</v>
      </c>
      <c r="R30" s="154">
        <v>6.4067986809999997</v>
      </c>
      <c r="S30" s="154"/>
      <c r="T30" s="154">
        <f t="shared" ref="T30:T35" si="25">R30</f>
        <v>6.4067986809999997</v>
      </c>
      <c r="U30" s="154">
        <v>7.2215295035699993</v>
      </c>
      <c r="V30" s="154"/>
      <c r="W30" s="154">
        <f t="shared" ref="W30:W35" si="26">U30</f>
        <v>7.2215295035699993</v>
      </c>
      <c r="X30" s="154">
        <v>7.7747657387000011</v>
      </c>
      <c r="Y30" s="154"/>
      <c r="Z30" s="154">
        <f t="shared" ref="Z30:Z35" si="27">X30</f>
        <v>7.7747657387000011</v>
      </c>
      <c r="AA30" s="154">
        <v>8.2356620178799993</v>
      </c>
      <c r="AB30" s="154">
        <v>7.96442361177</v>
      </c>
      <c r="AC30" s="154">
        <v>8.3323283083599993</v>
      </c>
      <c r="AD30" s="154">
        <v>8.3574387447199996</v>
      </c>
      <c r="AE30" s="154">
        <v>8.5649021849699984</v>
      </c>
      <c r="AF30" s="155">
        <f>SUM(C30:F30)</f>
        <v>8.0062043665499996</v>
      </c>
      <c r="AG30" s="132">
        <f>SUM(G30:J30)</f>
        <v>12.58576729508</v>
      </c>
      <c r="AH30" s="132">
        <f>SUM(K30:N30)</f>
        <v>21.977760218410001</v>
      </c>
      <c r="AI30" s="132">
        <f t="shared" si="23"/>
        <v>27.664984746120002</v>
      </c>
      <c r="AJ30" s="132"/>
      <c r="AK30" s="132">
        <f t="shared" ref="AK30:AK33" si="28">AI30</f>
        <v>27.664984746120002</v>
      </c>
      <c r="AL30" s="140">
        <f>SUM(AA30:AD30)</f>
        <v>32.889852682729995</v>
      </c>
    </row>
    <row r="31" spans="2:38" s="82" customFormat="1" x14ac:dyDescent="0.25">
      <c r="B31" s="135" t="s">
        <v>107</v>
      </c>
      <c r="C31" s="154">
        <f t="shared" ref="C31:O31" si="29">C14</f>
        <v>16.652937000000001</v>
      </c>
      <c r="D31" s="154">
        <f t="shared" si="29"/>
        <v>16.320250999999999</v>
      </c>
      <c r="E31" s="154">
        <f t="shared" si="29"/>
        <v>15.940804999999999</v>
      </c>
      <c r="F31" s="154">
        <f t="shared" si="29"/>
        <v>16.253174999999999</v>
      </c>
      <c r="G31" s="154">
        <f t="shared" si="29"/>
        <v>16.052555999999999</v>
      </c>
      <c r="H31" s="154">
        <f t="shared" si="29"/>
        <v>15.517837999999999</v>
      </c>
      <c r="I31" s="154">
        <f t="shared" si="29"/>
        <v>15.224119999999999</v>
      </c>
      <c r="J31" s="154">
        <f t="shared" si="29"/>
        <v>14.960917999999999</v>
      </c>
      <c r="K31" s="154">
        <f t="shared" si="29"/>
        <v>15.324812</v>
      </c>
      <c r="L31" s="154">
        <f t="shared" si="29"/>
        <v>15.487069</v>
      </c>
      <c r="M31" s="154">
        <f t="shared" si="29"/>
        <v>15.617815999999999</v>
      </c>
      <c r="N31" s="154">
        <f t="shared" si="29"/>
        <v>15.815427</v>
      </c>
      <c r="O31" s="154">
        <f t="shared" si="29"/>
        <v>16.008099999999999</v>
      </c>
      <c r="P31" s="154"/>
      <c r="Q31" s="154">
        <f t="shared" si="24"/>
        <v>16.008099999999999</v>
      </c>
      <c r="R31" s="154">
        <f t="shared" ref="R31" si="30">R14</f>
        <v>15.554269</v>
      </c>
      <c r="S31" s="154"/>
      <c r="T31" s="154">
        <f t="shared" si="25"/>
        <v>15.554269</v>
      </c>
      <c r="U31" s="154">
        <f t="shared" ref="U31" si="31">U14</f>
        <v>14.951997</v>
      </c>
      <c r="V31" s="154"/>
      <c r="W31" s="154">
        <f t="shared" si="26"/>
        <v>14.951997</v>
      </c>
      <c r="X31" s="154">
        <f t="shared" ref="X31" si="32">X14</f>
        <v>14.604699</v>
      </c>
      <c r="Y31" s="154"/>
      <c r="Z31" s="154">
        <f t="shared" si="27"/>
        <v>14.604699</v>
      </c>
      <c r="AA31" s="154">
        <f t="shared" ref="AA31:AE31" si="33">AA14</f>
        <v>14.178493</v>
      </c>
      <c r="AB31" s="154">
        <f t="shared" si="33"/>
        <v>13.944917</v>
      </c>
      <c r="AC31" s="154">
        <f t="shared" si="33"/>
        <v>14.201098</v>
      </c>
      <c r="AD31" s="154">
        <f t="shared" si="33"/>
        <v>14.137829</v>
      </c>
      <c r="AE31" s="154">
        <f t="shared" si="33"/>
        <v>14.114623999999999</v>
      </c>
      <c r="AF31" s="155">
        <f>F31</f>
        <v>16.253174999999999</v>
      </c>
      <c r="AG31" s="154">
        <f>J31</f>
        <v>14.960917999999999</v>
      </c>
      <c r="AH31" s="154">
        <f>N31</f>
        <v>15.815427</v>
      </c>
      <c r="AI31" s="154">
        <f>X31</f>
        <v>14.604699</v>
      </c>
      <c r="AJ31" s="154"/>
      <c r="AK31" s="154">
        <f t="shared" si="28"/>
        <v>14.604699</v>
      </c>
      <c r="AL31" s="156">
        <f>AD31</f>
        <v>14.137829</v>
      </c>
    </row>
    <row r="32" spans="2:38" s="82" customFormat="1" x14ac:dyDescent="0.25">
      <c r="B32" s="135" t="s">
        <v>140</v>
      </c>
      <c r="C32" s="132">
        <v>586.28194919523355</v>
      </c>
      <c r="D32" s="132">
        <v>546.19436579785167</v>
      </c>
      <c r="E32" s="132">
        <v>593.02628157325864</v>
      </c>
      <c r="F32" s="132">
        <v>554.84762512039003</v>
      </c>
      <c r="G32" s="132">
        <v>513.02965351545015</v>
      </c>
      <c r="H32" s="132">
        <v>522.24464931120804</v>
      </c>
      <c r="I32" s="154">
        <v>553.3843709670889</v>
      </c>
      <c r="J32" s="154">
        <v>528.31055556796048</v>
      </c>
      <c r="K32" s="154">
        <v>503.68723772857169</v>
      </c>
      <c r="L32" s="154">
        <v>495.54893964074017</v>
      </c>
      <c r="M32" s="154">
        <v>518.05892022791068</v>
      </c>
      <c r="N32" s="154">
        <v>489.01740117047422</v>
      </c>
      <c r="O32" s="154">
        <v>474.2663320693523</v>
      </c>
      <c r="P32" s="154"/>
      <c r="Q32" s="154">
        <f t="shared" si="24"/>
        <v>474.2663320693523</v>
      </c>
      <c r="R32" s="154">
        <v>468.61223156094525</v>
      </c>
      <c r="S32" s="154"/>
      <c r="T32" s="154">
        <f t="shared" si="25"/>
        <v>468.61223156094525</v>
      </c>
      <c r="U32" s="154">
        <v>511.64565452203601</v>
      </c>
      <c r="V32" s="154"/>
      <c r="W32" s="154">
        <f t="shared" si="26"/>
        <v>511.64565452203601</v>
      </c>
      <c r="X32" s="154">
        <v>523.69335995764447</v>
      </c>
      <c r="Y32" s="154"/>
      <c r="Z32" s="154">
        <f t="shared" si="27"/>
        <v>523.69335995764447</v>
      </c>
      <c r="AA32" s="154">
        <v>512.2259670118126</v>
      </c>
      <c r="AB32" s="154">
        <v>484.24917697628661</v>
      </c>
      <c r="AC32" s="154">
        <v>523.95175914269441</v>
      </c>
      <c r="AD32" s="154">
        <v>513.75367666461045</v>
      </c>
      <c r="AE32" s="154">
        <v>497.2985407454708</v>
      </c>
      <c r="AF32" s="155" t="s">
        <v>110</v>
      </c>
      <c r="AG32" s="154" t="s">
        <v>110</v>
      </c>
      <c r="AH32" s="154" t="s">
        <v>110</v>
      </c>
      <c r="AI32" s="154" t="s">
        <v>110</v>
      </c>
      <c r="AJ32" s="154"/>
      <c r="AK32" s="154" t="str">
        <f t="shared" si="28"/>
        <v>n.a.</v>
      </c>
      <c r="AL32" s="156" t="s">
        <v>110</v>
      </c>
    </row>
    <row r="33" spans="2:38" s="82" customFormat="1" x14ac:dyDescent="0.25">
      <c r="B33" s="135" t="s">
        <v>125</v>
      </c>
      <c r="C33" s="132">
        <f t="shared" ref="C33:O35" si="34">C16</f>
        <v>351.13667681539391</v>
      </c>
      <c r="D33" s="132">
        <f t="shared" si="34"/>
        <v>338.63939723066301</v>
      </c>
      <c r="E33" s="132">
        <f t="shared" si="34"/>
        <v>334.94645462490604</v>
      </c>
      <c r="F33" s="132">
        <f t="shared" si="34"/>
        <v>323.04603274759899</v>
      </c>
      <c r="G33" s="132">
        <f t="shared" si="34"/>
        <v>364.90622526682841</v>
      </c>
      <c r="H33" s="132">
        <f t="shared" si="34"/>
        <v>378.51823821549033</v>
      </c>
      <c r="I33" s="154">
        <f t="shared" si="34"/>
        <v>414.91444221657798</v>
      </c>
      <c r="J33" s="132">
        <f t="shared" si="34"/>
        <v>429.91147415904089</v>
      </c>
      <c r="K33" s="132">
        <f t="shared" si="34"/>
        <v>437.09628862636259</v>
      </c>
      <c r="L33" s="132">
        <f t="shared" si="34"/>
        <v>447.05011494534659</v>
      </c>
      <c r="M33" s="132">
        <f t="shared" si="34"/>
        <v>447.65467562303047</v>
      </c>
      <c r="N33" s="132">
        <f t="shared" si="34"/>
        <v>437.35463388235189</v>
      </c>
      <c r="O33" s="132">
        <f t="shared" si="34"/>
        <v>419.60934793096106</v>
      </c>
      <c r="P33" s="132"/>
      <c r="Q33" s="132">
        <f t="shared" si="24"/>
        <v>419.60934793096106</v>
      </c>
      <c r="R33" s="132">
        <f t="shared" ref="R33:R35" si="35">R16</f>
        <v>412.52940181180105</v>
      </c>
      <c r="S33" s="132"/>
      <c r="T33" s="132">
        <f t="shared" si="25"/>
        <v>412.52940181180105</v>
      </c>
      <c r="U33" s="132">
        <f t="shared" ref="U33:U35" si="36">U16</f>
        <v>420.59655372659068</v>
      </c>
      <c r="V33" s="132"/>
      <c r="W33" s="132">
        <f t="shared" si="26"/>
        <v>420.59655372659068</v>
      </c>
      <c r="X33" s="132">
        <f t="shared" ref="X33:X35" si="37">X16</f>
        <v>429.84837648971319</v>
      </c>
      <c r="Y33" s="132"/>
      <c r="Z33" s="132">
        <f t="shared" si="27"/>
        <v>429.84837648971319</v>
      </c>
      <c r="AA33" s="132">
        <f t="shared" ref="AA33:AI35" si="38">AA16</f>
        <v>447.82868538493648</v>
      </c>
      <c r="AB33" s="132">
        <f t="shared" si="38"/>
        <v>463.77228966354573</v>
      </c>
      <c r="AC33" s="132">
        <f t="shared" si="38"/>
        <v>488.00147698706195</v>
      </c>
      <c r="AD33" s="132">
        <f t="shared" si="38"/>
        <v>482.31790407088374</v>
      </c>
      <c r="AE33" s="132">
        <f t="shared" si="38"/>
        <v>467.92026455189574</v>
      </c>
      <c r="AF33" s="137" t="str">
        <f t="shared" si="38"/>
        <v>n.a.</v>
      </c>
      <c r="AG33" s="154" t="str">
        <f t="shared" si="38"/>
        <v>n.a.</v>
      </c>
      <c r="AH33" s="154" t="str">
        <f t="shared" si="38"/>
        <v>n.a.</v>
      </c>
      <c r="AI33" s="154" t="s">
        <v>110</v>
      </c>
      <c r="AJ33" s="154"/>
      <c r="AK33" s="154" t="str">
        <f t="shared" si="28"/>
        <v>n.a.</v>
      </c>
      <c r="AL33" s="156" t="str">
        <f t="shared" ref="AL33" si="39">AL16</f>
        <v>n.a.</v>
      </c>
    </row>
    <row r="34" spans="2:38" s="82" customFormat="1" x14ac:dyDescent="0.25">
      <c r="B34" s="135" t="s">
        <v>126</v>
      </c>
      <c r="C34" s="160">
        <f t="shared" si="34"/>
        <v>0</v>
      </c>
      <c r="D34" s="160">
        <f t="shared" si="34"/>
        <v>9.7958438231692979E-2</v>
      </c>
      <c r="E34" s="160">
        <f t="shared" si="34"/>
        <v>9.4452456856960909E-2</v>
      </c>
      <c r="F34" s="160">
        <f t="shared" si="34"/>
        <v>9.9057525661629911E-2</v>
      </c>
      <c r="G34" s="160">
        <f t="shared" si="34"/>
        <v>9.9037102735734406E-2</v>
      </c>
      <c r="H34" s="160">
        <f t="shared" si="34"/>
        <v>0.10603668741036301</v>
      </c>
      <c r="I34" s="261">
        <f t="shared" si="34"/>
        <v>0.10437734642666548</v>
      </c>
      <c r="J34" s="143">
        <f t="shared" si="34"/>
        <v>0.11010951849721044</v>
      </c>
      <c r="K34" s="143">
        <f t="shared" si="34"/>
        <v>0.10391943664557532</v>
      </c>
      <c r="L34" s="143">
        <f t="shared" si="34"/>
        <v>9.9670383641946428E-2</v>
      </c>
      <c r="M34" s="143">
        <f t="shared" si="34"/>
        <v>9.9152850106984797E-2</v>
      </c>
      <c r="N34" s="143">
        <f t="shared" si="34"/>
        <v>0.11665993228888283</v>
      </c>
      <c r="O34" s="143">
        <f t="shared" si="34"/>
        <v>0.12199527726766426</v>
      </c>
      <c r="P34" s="143"/>
      <c r="Q34" s="143">
        <f t="shared" si="24"/>
        <v>0.12199527726766426</v>
      </c>
      <c r="R34" s="143">
        <f t="shared" si="35"/>
        <v>0.15690602945552026</v>
      </c>
      <c r="S34" s="143"/>
      <c r="T34" s="143">
        <f t="shared" si="25"/>
        <v>0.15690602945552026</v>
      </c>
      <c r="U34" s="143">
        <f t="shared" si="36"/>
        <v>0.15496475379844915</v>
      </c>
      <c r="V34" s="143"/>
      <c r="W34" s="143">
        <f t="shared" si="26"/>
        <v>0.15496475379844915</v>
      </c>
      <c r="X34" s="143">
        <f t="shared" si="37"/>
        <v>0.14161406944808716</v>
      </c>
      <c r="Y34" s="143"/>
      <c r="Z34" s="143">
        <f t="shared" si="27"/>
        <v>0.14161406944808716</v>
      </c>
      <c r="AA34" s="143">
        <f t="shared" si="38"/>
        <v>0.12793369130150681</v>
      </c>
      <c r="AB34" s="143">
        <f t="shared" si="38"/>
        <v>9.0231021060390618E-2</v>
      </c>
      <c r="AC34" s="143">
        <f t="shared" si="38"/>
        <v>5.7400239429986802E-2</v>
      </c>
      <c r="AD34" s="143">
        <f t="shared" si="38"/>
        <v>8.1695118520189555E-2</v>
      </c>
      <c r="AE34" s="143">
        <f t="shared" si="38"/>
        <v>7.2116145100745765E-2</v>
      </c>
      <c r="AF34" s="144" t="str">
        <f t="shared" si="38"/>
        <v>n.a.</v>
      </c>
      <c r="AG34" s="154" t="str">
        <f t="shared" si="38"/>
        <v>n.a.</v>
      </c>
      <c r="AH34" s="154" t="str">
        <f t="shared" si="38"/>
        <v>n.a.</v>
      </c>
      <c r="AI34" s="154" t="str">
        <f t="shared" si="38"/>
        <v>n.a.</v>
      </c>
      <c r="AJ34" s="154"/>
      <c r="AK34" s="154" t="str">
        <f t="shared" ref="AK34:AL35" si="40">AK17</f>
        <v>n.a.</v>
      </c>
      <c r="AL34" s="156" t="str">
        <f t="shared" si="40"/>
        <v>n.a.</v>
      </c>
    </row>
    <row r="35" spans="2:38" s="82" customFormat="1" ht="12" thickBot="1" x14ac:dyDescent="0.3">
      <c r="B35" s="209" t="s">
        <v>113</v>
      </c>
      <c r="C35" s="210">
        <f t="shared" si="34"/>
        <v>295.04810533599158</v>
      </c>
      <c r="D35" s="210">
        <f t="shared" si="34"/>
        <v>303.74978067795888</v>
      </c>
      <c r="E35" s="210">
        <f t="shared" si="34"/>
        <v>345.35810561335762</v>
      </c>
      <c r="F35" s="210">
        <f t="shared" si="34"/>
        <v>447.3268648247136</v>
      </c>
      <c r="G35" s="210">
        <f t="shared" si="34"/>
        <v>573.44512918189355</v>
      </c>
      <c r="H35" s="210">
        <f t="shared" si="34"/>
        <v>478.49067555477467</v>
      </c>
      <c r="I35" s="263">
        <f t="shared" si="34"/>
        <v>514.66407510517013</v>
      </c>
      <c r="J35" s="248">
        <f t="shared" si="34"/>
        <v>561.03008011935788</v>
      </c>
      <c r="K35" s="248">
        <f t="shared" si="34"/>
        <v>1064.8219348552786</v>
      </c>
      <c r="L35" s="248">
        <f t="shared" si="34"/>
        <v>1642.7802334921296</v>
      </c>
      <c r="M35" s="248">
        <f t="shared" si="34"/>
        <v>1822.9153487244205</v>
      </c>
      <c r="N35" s="248">
        <f t="shared" si="34"/>
        <v>2190.6993944173078</v>
      </c>
      <c r="O35" s="248">
        <f t="shared" si="34"/>
        <v>2244.4634216704167</v>
      </c>
      <c r="P35" s="248"/>
      <c r="Q35" s="248">
        <f t="shared" si="24"/>
        <v>2244.4634216704167</v>
      </c>
      <c r="R35" s="248">
        <f t="shared" si="35"/>
        <v>2703.0568472790528</v>
      </c>
      <c r="S35" s="248"/>
      <c r="T35" s="248">
        <f t="shared" si="25"/>
        <v>2703.0568472790528</v>
      </c>
      <c r="U35" s="248">
        <f t="shared" si="36"/>
        <v>3444.336846780257</v>
      </c>
      <c r="V35" s="248"/>
      <c r="W35" s="248">
        <f t="shared" si="26"/>
        <v>3444.336846780257</v>
      </c>
      <c r="X35" s="248">
        <f t="shared" si="37"/>
        <v>3986.4734255802364</v>
      </c>
      <c r="Y35" s="248"/>
      <c r="Z35" s="248">
        <f t="shared" si="27"/>
        <v>3986.4734255802364</v>
      </c>
      <c r="AA35" s="248">
        <f t="shared" si="38"/>
        <v>4574.2098581819855</v>
      </c>
      <c r="AB35" s="248">
        <f t="shared" si="38"/>
        <v>5058.8917724050552</v>
      </c>
      <c r="AC35" s="248">
        <f t="shared" si="38"/>
        <v>4960.9517496394719</v>
      </c>
      <c r="AD35" s="248">
        <f t="shared" si="38"/>
        <v>5104.3340296068318</v>
      </c>
      <c r="AE35" s="248">
        <f t="shared" si="38"/>
        <v>5393.8243557321175</v>
      </c>
      <c r="AF35" s="230" t="str">
        <f t="shared" si="38"/>
        <v>n.a.</v>
      </c>
      <c r="AG35" s="213" t="str">
        <f t="shared" si="38"/>
        <v>n.a.</v>
      </c>
      <c r="AH35" s="213" t="str">
        <f t="shared" si="38"/>
        <v>n.a.</v>
      </c>
      <c r="AI35" s="213" t="str">
        <f t="shared" si="38"/>
        <v>n.a.</v>
      </c>
      <c r="AJ35" s="213"/>
      <c r="AK35" s="213" t="str">
        <f t="shared" si="40"/>
        <v>n.a.</v>
      </c>
      <c r="AL35" s="264" t="str">
        <f t="shared" si="40"/>
        <v>n.a.</v>
      </c>
    </row>
    <row r="36" spans="2:38" s="82" customFormat="1" ht="12" thickTop="1" x14ac:dyDescent="0.25">
      <c r="B36" s="141"/>
      <c r="C36" s="231"/>
      <c r="D36" s="231"/>
      <c r="E36" s="231"/>
      <c r="F36" s="231"/>
      <c r="G36" s="231"/>
      <c r="H36" s="231"/>
      <c r="I36" s="154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40"/>
      <c r="AG36" s="143"/>
      <c r="AH36" s="143"/>
      <c r="AI36" s="143"/>
      <c r="AJ36" s="143"/>
      <c r="AK36" s="143"/>
      <c r="AL36" s="143"/>
    </row>
    <row r="37" spans="2:38" s="82" customFormat="1" ht="12" thickBot="1" x14ac:dyDescent="0.3">
      <c r="B37" s="187" t="s">
        <v>130</v>
      </c>
      <c r="C37" s="233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5"/>
      <c r="AG37" s="235"/>
      <c r="AH37" s="235"/>
      <c r="AI37" s="235"/>
      <c r="AJ37" s="235"/>
      <c r="AK37" s="235"/>
      <c r="AL37" s="235"/>
    </row>
    <row r="38" spans="2:38" s="82" customFormat="1" ht="12" thickBot="1" x14ac:dyDescent="0.3">
      <c r="B38" s="265" t="s">
        <v>131</v>
      </c>
      <c r="C38" s="266">
        <v>0</v>
      </c>
      <c r="D38" s="266">
        <v>0</v>
      </c>
      <c r="E38" s="266">
        <v>0</v>
      </c>
      <c r="F38" s="266">
        <v>0.2</v>
      </c>
      <c r="G38" s="266">
        <v>0.2</v>
      </c>
      <c r="H38" s="266">
        <v>0.2054</v>
      </c>
      <c r="I38" s="192">
        <v>0.22189999999999999</v>
      </c>
      <c r="J38" s="192">
        <v>0.24610000000000001</v>
      </c>
      <c r="K38" s="192">
        <v>0.25290000000000001</v>
      </c>
      <c r="L38" s="192">
        <v>0.25390000000000001</v>
      </c>
      <c r="M38" s="192">
        <v>0.25390000000000001</v>
      </c>
      <c r="N38" s="192">
        <v>0.26572400200000001</v>
      </c>
      <c r="O38" s="192">
        <v>0.26569999999999999</v>
      </c>
      <c r="P38" s="267"/>
      <c r="Q38" s="267"/>
      <c r="R38" s="192">
        <v>0.27</v>
      </c>
      <c r="S38" s="267"/>
      <c r="T38" s="267"/>
      <c r="U38" s="192">
        <v>0.34699999999999998</v>
      </c>
      <c r="V38" s="267"/>
      <c r="W38" s="267"/>
      <c r="X38" s="192">
        <v>0.38</v>
      </c>
      <c r="Y38" s="267"/>
      <c r="Z38" s="267"/>
      <c r="AA38" s="192">
        <v>0.41320000000000001</v>
      </c>
      <c r="AB38" s="192">
        <v>0.43669999999999998</v>
      </c>
      <c r="AC38" s="192">
        <v>0.47</v>
      </c>
      <c r="AD38" s="192">
        <v>0.51819999999999999</v>
      </c>
      <c r="AE38" s="268">
        <v>0.61</v>
      </c>
      <c r="AF38" s="236" t="s">
        <v>110</v>
      </c>
      <c r="AG38" s="269" t="s">
        <v>110</v>
      </c>
      <c r="AH38" s="269" t="s">
        <v>110</v>
      </c>
      <c r="AI38" s="269" t="s">
        <v>110</v>
      </c>
      <c r="AJ38" s="269"/>
      <c r="AK38" s="269" t="s">
        <v>110</v>
      </c>
      <c r="AL38" s="344">
        <v>0.61</v>
      </c>
    </row>
    <row r="39" spans="2:38" s="82" customFormat="1" ht="12.5" thickTop="1" thickBot="1" x14ac:dyDescent="0.3">
      <c r="B39" s="237" t="s">
        <v>138</v>
      </c>
      <c r="C39" s="238">
        <v>0</v>
      </c>
      <c r="D39" s="238">
        <v>0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  <c r="P39" s="238"/>
      <c r="Q39" s="238"/>
      <c r="R39" s="238">
        <v>0</v>
      </c>
      <c r="S39" s="211"/>
      <c r="T39" s="211"/>
      <c r="U39" s="238">
        <v>0.30219956571687379</v>
      </c>
      <c r="V39" s="211"/>
      <c r="W39" s="211"/>
      <c r="X39" s="238">
        <v>0.31902821139963239</v>
      </c>
      <c r="Y39" s="211"/>
      <c r="Z39" s="211"/>
      <c r="AA39" s="238">
        <v>0.35796434783301723</v>
      </c>
      <c r="AB39" s="238">
        <v>0.37411180002003597</v>
      </c>
      <c r="AC39" s="238">
        <v>0.38486171984729634</v>
      </c>
      <c r="AD39" s="238">
        <v>0.40057288852482231</v>
      </c>
      <c r="AE39" s="270">
        <v>0.42550591499993201</v>
      </c>
      <c r="AF39" s="213"/>
      <c r="AG39" s="213"/>
      <c r="AH39" s="213" t="s">
        <v>110</v>
      </c>
      <c r="AI39" s="213" t="s">
        <v>110</v>
      </c>
      <c r="AJ39" s="213"/>
      <c r="AK39" s="213" t="s">
        <v>110</v>
      </c>
      <c r="AL39" s="345">
        <v>0.42550591499993201</v>
      </c>
    </row>
    <row r="40" spans="2:38" s="82" customFormat="1" ht="12" thickTop="1" x14ac:dyDescent="0.25">
      <c r="C40" s="231"/>
      <c r="D40" s="157"/>
      <c r="E40" s="157"/>
      <c r="F40" s="157"/>
      <c r="G40" s="157"/>
      <c r="H40" s="157"/>
      <c r="I40" s="157"/>
      <c r="J40" s="157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271"/>
      <c r="AC40" s="132"/>
      <c r="AD40" s="132"/>
      <c r="AE40" s="132"/>
      <c r="AF40" s="143"/>
      <c r="AG40" s="143"/>
      <c r="AH40" s="143"/>
      <c r="AI40" s="143"/>
      <c r="AJ40" s="143"/>
      <c r="AK40" s="143"/>
      <c r="AL40" s="143"/>
    </row>
    <row r="41" spans="2:38" s="82" customFormat="1" x14ac:dyDescent="0.25">
      <c r="C41" s="23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43"/>
      <c r="AG41" s="143"/>
      <c r="AH41" s="143"/>
      <c r="AI41" s="143"/>
      <c r="AJ41" s="143"/>
      <c r="AK41" s="143"/>
      <c r="AL41" s="143"/>
    </row>
    <row r="42" spans="2:38" s="82" customFormat="1" ht="25" x14ac:dyDescent="0.25">
      <c r="B42" s="76" t="s">
        <v>157</v>
      </c>
      <c r="C42" s="245"/>
      <c r="D42" s="245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</row>
    <row r="43" spans="2:38" s="245" customFormat="1" x14ac:dyDescent="0.25">
      <c r="B43" s="19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2:38" s="245" customFormat="1" x14ac:dyDescent="0.25">
      <c r="B44" s="82" t="s">
        <v>133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</row>
    <row r="45" spans="2:38" s="245" customFormat="1" x14ac:dyDescent="0.25">
      <c r="B45" s="273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4"/>
      <c r="X45" s="272"/>
      <c r="Y45" s="272"/>
      <c r="Z45" s="274"/>
      <c r="AA45" s="274"/>
      <c r="AB45" s="274"/>
      <c r="AC45" s="274"/>
      <c r="AD45" s="274"/>
      <c r="AE45" s="274"/>
    </row>
    <row r="46" spans="2:38" s="245" customFormat="1" x14ac:dyDescent="0.25">
      <c r="B46" s="273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</row>
    <row r="47" spans="2:38" s="245" customFormat="1" x14ac:dyDescent="0.25">
      <c r="B47" s="273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</row>
    <row r="48" spans="2:38" x14ac:dyDescent="0.25"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</row>
    <row r="49" spans="3:31" x14ac:dyDescent="0.25"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</row>
    <row r="51" spans="3:31" x14ac:dyDescent="0.25"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</row>
    <row r="52" spans="3:31" x14ac:dyDescent="0.25"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</row>
  </sheetData>
  <hyperlinks>
    <hyperlink ref="B2" location="Index!A1" display="index page" xr:uid="{B4AD7BF5-7400-4040-9446-7C25DE53540B}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7CEB5-6E6E-4BC1-93F4-B45E3DB6B493}">
  <sheetPr>
    <pageSetUpPr fitToPage="1"/>
  </sheetPr>
  <dimension ref="B1:AL49"/>
  <sheetViews>
    <sheetView showGridLines="0" view="pageBreakPreview" zoomScaleNormal="90" zoomScaleSheetLayoutView="100" workbookViewId="0">
      <pane xSplit="2" ySplit="4" topLeftCell="M5" activePane="bottomRight" state="frozen"/>
      <selection activeCell="K31" sqref="K31"/>
      <selection pane="topRight" activeCell="K31" sqref="K31"/>
      <selection pane="bottomLeft" activeCell="K31" sqref="K31"/>
      <selection pane="bottomRight" activeCell="AI1" sqref="AI1:AK1048576"/>
    </sheetView>
  </sheetViews>
  <sheetFormatPr defaultColWidth="8.81640625" defaultRowHeight="11.5" outlineLevelCol="1" x14ac:dyDescent="0.25"/>
  <cols>
    <col min="1" max="1" width="1.7265625" style="6" customWidth="1"/>
    <col min="2" max="2" width="64.7265625" style="6" customWidth="1"/>
    <col min="3" max="14" width="10.54296875" style="6" hidden="1" customWidth="1" outlineLevel="1"/>
    <col min="15" max="15" width="10.54296875" style="6" customWidth="1" collapsed="1"/>
    <col min="16" max="31" width="10.54296875" style="6" customWidth="1"/>
    <col min="32" max="33" width="10.54296875" style="6" hidden="1" customWidth="1" outlineLevel="1"/>
    <col min="34" max="34" width="8.81640625" style="6" hidden="1" customWidth="1" outlineLevel="1"/>
    <col min="35" max="35" width="8.81640625" style="6" customWidth="1" collapsed="1"/>
    <col min="36" max="37" width="8.81640625" style="6" customWidth="1"/>
    <col min="38" max="16384" width="8.81640625" style="6"/>
  </cols>
  <sheetData>
    <row r="1" spans="2:38" s="28" customFormat="1" x14ac:dyDescent="0.25">
      <c r="B1" s="30" t="s">
        <v>24</v>
      </c>
    </row>
    <row r="2" spans="2:38" s="28" customFormat="1" x14ac:dyDescent="0.25">
      <c r="B2" s="34" t="s">
        <v>39</v>
      </c>
    </row>
    <row r="3" spans="2:38" s="28" customFormat="1" ht="12" thickBot="1" x14ac:dyDescent="0.3">
      <c r="B3" s="36" t="s">
        <v>40</v>
      </c>
    </row>
    <row r="4" spans="2:38" s="82" customFormat="1" ht="12.5" thickTop="1" thickBot="1" x14ac:dyDescent="0.3">
      <c r="B4" s="38" t="s">
        <v>102</v>
      </c>
      <c r="C4" s="43" t="s">
        <v>92</v>
      </c>
      <c r="D4" s="43" t="s">
        <v>93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180" t="s">
        <v>7</v>
      </c>
      <c r="AB4" s="180" t="s">
        <v>63</v>
      </c>
      <c r="AC4" s="180" t="s">
        <v>64</v>
      </c>
      <c r="AD4" s="180" t="s">
        <v>65</v>
      </c>
      <c r="AE4" s="180" t="s">
        <v>6</v>
      </c>
      <c r="AF4" s="134" t="s">
        <v>94</v>
      </c>
      <c r="AG4" s="43" t="s">
        <v>67</v>
      </c>
      <c r="AH4" s="84" t="s">
        <v>68</v>
      </c>
      <c r="AI4" s="43" t="s">
        <v>69</v>
      </c>
      <c r="AJ4" s="43" t="s">
        <v>55</v>
      </c>
      <c r="AK4" s="43" t="s">
        <v>70</v>
      </c>
      <c r="AL4" s="44" t="s">
        <v>71</v>
      </c>
    </row>
    <row r="5" spans="2:38" s="82" customFormat="1" x14ac:dyDescent="0.25">
      <c r="B5" s="135" t="s">
        <v>72</v>
      </c>
      <c r="C5" s="132">
        <v>154.855493</v>
      </c>
      <c r="D5" s="132">
        <v>157.23493688999997</v>
      </c>
      <c r="E5" s="132">
        <v>156.50231379000002</v>
      </c>
      <c r="F5" s="132">
        <v>152.12065550999998</v>
      </c>
      <c r="G5" s="132">
        <v>150.99637140999999</v>
      </c>
      <c r="H5" s="132">
        <v>147.82866681000002</v>
      </c>
      <c r="I5" s="132">
        <v>144.16387898000002</v>
      </c>
      <c r="J5" s="132">
        <v>131.40138124000001</v>
      </c>
      <c r="K5" s="132">
        <v>129.13657111000001</v>
      </c>
      <c r="L5" s="132">
        <v>130.65486852000004</v>
      </c>
      <c r="M5" s="132">
        <v>131.24681466999999</v>
      </c>
      <c r="N5" s="132">
        <v>130.46001722</v>
      </c>
      <c r="O5" s="132">
        <v>133.69953820000001</v>
      </c>
      <c r="P5" s="132"/>
      <c r="Q5" s="138">
        <f>O5</f>
        <v>133.69953820000001</v>
      </c>
      <c r="R5" s="132">
        <v>136.83680887</v>
      </c>
      <c r="S5" s="132"/>
      <c r="T5" s="138">
        <f>R5</f>
        <v>136.83680887</v>
      </c>
      <c r="U5" s="132">
        <v>135.29411034</v>
      </c>
      <c r="V5" s="132"/>
      <c r="W5" s="138">
        <f>U5</f>
        <v>135.29411034</v>
      </c>
      <c r="X5" s="132">
        <v>130.85757155000002</v>
      </c>
      <c r="Y5" s="132"/>
      <c r="Z5" s="138">
        <f>X5</f>
        <v>130.85757155000002</v>
      </c>
      <c r="AA5" s="132">
        <v>136.96086138999999</v>
      </c>
      <c r="AB5" s="132">
        <v>130.48278126000002</v>
      </c>
      <c r="AC5" s="132">
        <v>135.91907696999999</v>
      </c>
      <c r="AD5" s="132">
        <v>133.99266739000001</v>
      </c>
      <c r="AE5" s="132">
        <v>135.027086</v>
      </c>
      <c r="AF5" s="137">
        <f>SUM(C5:F5)</f>
        <v>620.71339919000002</v>
      </c>
      <c r="AG5" s="138">
        <f>SUM(G5:J5)</f>
        <v>574.39029844000004</v>
      </c>
      <c r="AH5" s="152">
        <f>SUM(K5:N5)</f>
        <v>521.49827152</v>
      </c>
      <c r="AI5" s="132">
        <f>SUM(O5,R5,U5,X5)</f>
        <v>536.68802896</v>
      </c>
      <c r="AJ5" s="132"/>
      <c r="AK5" s="132">
        <f>AI5</f>
        <v>536.68802896</v>
      </c>
      <c r="AL5" s="132">
        <f>SUM(AA5:AD5)</f>
        <v>537.35538700999996</v>
      </c>
    </row>
    <row r="6" spans="2:38" s="82" customFormat="1" x14ac:dyDescent="0.25">
      <c r="B6" s="159" t="s">
        <v>73</v>
      </c>
      <c r="C6" s="132">
        <v>152.83819391</v>
      </c>
      <c r="D6" s="132">
        <v>152.40113505000002</v>
      </c>
      <c r="E6" s="132">
        <v>153.21112683999999</v>
      </c>
      <c r="F6" s="132">
        <v>147.20932784999999</v>
      </c>
      <c r="G6" s="132">
        <v>147.05674119</v>
      </c>
      <c r="H6" s="132">
        <v>143.91840019</v>
      </c>
      <c r="I6" s="132">
        <v>139.61217793</v>
      </c>
      <c r="J6" s="132">
        <v>126.54539729</v>
      </c>
      <c r="K6" s="132">
        <v>125.06745449</v>
      </c>
      <c r="L6" s="132">
        <v>124.99133422000003</v>
      </c>
      <c r="M6" s="132">
        <v>127.0628483</v>
      </c>
      <c r="N6" s="132">
        <v>127.14771021</v>
      </c>
      <c r="O6" s="132">
        <v>130.57385771</v>
      </c>
      <c r="P6" s="132"/>
      <c r="Q6" s="132">
        <f>O6</f>
        <v>130.57385771</v>
      </c>
      <c r="R6" s="132">
        <v>133.84015840999999</v>
      </c>
      <c r="S6" s="132"/>
      <c r="T6" s="132">
        <f>R6</f>
        <v>133.84015840999999</v>
      </c>
      <c r="U6" s="132">
        <v>132.66552931999999</v>
      </c>
      <c r="V6" s="132"/>
      <c r="W6" s="132">
        <f>U6</f>
        <v>132.66552931999999</v>
      </c>
      <c r="X6" s="132">
        <v>128.32602754000001</v>
      </c>
      <c r="Y6" s="132"/>
      <c r="Z6" s="132">
        <f>X6</f>
        <v>128.32602754000001</v>
      </c>
      <c r="AA6" s="132">
        <v>134.41723295</v>
      </c>
      <c r="AB6" s="132">
        <v>127.89937831</v>
      </c>
      <c r="AC6" s="132">
        <v>133.37903796999998</v>
      </c>
      <c r="AD6" s="132">
        <v>131.34494018000001</v>
      </c>
      <c r="AE6" s="132">
        <v>132.40074617000002</v>
      </c>
      <c r="AF6" s="137">
        <f>SUM(C6:F6)</f>
        <v>605.65978365000001</v>
      </c>
      <c r="AG6" s="132">
        <f>SUM(G6:J6)</f>
        <v>557.13271659999998</v>
      </c>
      <c r="AH6" s="132">
        <f>SUM(K6:N6)</f>
        <v>504.26934722000004</v>
      </c>
      <c r="AI6" s="132">
        <f t="shared" ref="AI6:AI7" si="0">SUM(O6,R6,U6,X6)</f>
        <v>525.40557297999999</v>
      </c>
      <c r="AJ6" s="132"/>
      <c r="AK6" s="132">
        <f t="shared" ref="AK6" si="1">AI6</f>
        <v>525.40557297999999</v>
      </c>
      <c r="AL6" s="132">
        <f>SUM(AA6:AD6)</f>
        <v>527.04058940999994</v>
      </c>
    </row>
    <row r="7" spans="2:38" s="82" customFormat="1" x14ac:dyDescent="0.25">
      <c r="B7" s="135" t="s">
        <v>74</v>
      </c>
      <c r="C7" s="132">
        <v>70.084967459999987</v>
      </c>
      <c r="D7" s="132">
        <v>68.735095700000002</v>
      </c>
      <c r="E7" s="132">
        <v>73.040884280000029</v>
      </c>
      <c r="F7" s="132">
        <v>55.445644999999978</v>
      </c>
      <c r="G7" s="132">
        <v>69.380984510000019</v>
      </c>
      <c r="H7" s="132">
        <v>60.703684960000011</v>
      </c>
      <c r="I7" s="132">
        <v>55.677099440000013</v>
      </c>
      <c r="J7" s="132">
        <v>47.386388669999988</v>
      </c>
      <c r="K7" s="132">
        <v>46.575369300000006</v>
      </c>
      <c r="L7" s="132">
        <v>44.901276230000029</v>
      </c>
      <c r="M7" s="132">
        <v>47.155492780000003</v>
      </c>
      <c r="N7" s="132">
        <v>44.706628109999983</v>
      </c>
      <c r="O7" s="132">
        <v>59.877553450000015</v>
      </c>
      <c r="P7" s="132">
        <v>9.978832001469998</v>
      </c>
      <c r="Q7" s="132">
        <f>O7-P7</f>
        <v>49.898721448530019</v>
      </c>
      <c r="R7" s="132">
        <v>54.511250549999993</v>
      </c>
      <c r="S7" s="132">
        <v>9.8224313101989775</v>
      </c>
      <c r="T7" s="132">
        <f>R7-S7</f>
        <v>44.688819239801013</v>
      </c>
      <c r="U7" s="132">
        <v>55.289416399999993</v>
      </c>
      <c r="V7" s="132">
        <v>10.354125244341809</v>
      </c>
      <c r="W7" s="132">
        <f>U7-V7</f>
        <v>44.935291155658184</v>
      </c>
      <c r="X7" s="132">
        <v>52.728831300000017</v>
      </c>
      <c r="Y7" s="132">
        <v>9.9414115478147984</v>
      </c>
      <c r="Z7" s="132">
        <f>X7-Y7</f>
        <v>42.787419752185215</v>
      </c>
      <c r="AA7" s="132">
        <v>58.959517579999996</v>
      </c>
      <c r="AB7" s="132">
        <v>54.068633180000006</v>
      </c>
      <c r="AC7" s="132">
        <v>59.728824339999996</v>
      </c>
      <c r="AD7" s="132">
        <v>54.845206060000002</v>
      </c>
      <c r="AE7" s="132">
        <v>55.451853790000001</v>
      </c>
      <c r="AF7" s="137">
        <f>SUM(C7:F7)</f>
        <v>267.30659243999997</v>
      </c>
      <c r="AG7" s="132">
        <f>SUM(G7:J7)</f>
        <v>233.14815758000003</v>
      </c>
      <c r="AH7" s="132">
        <f>SUM(K7:N7)</f>
        <v>183.33876642000001</v>
      </c>
      <c r="AI7" s="132">
        <f t="shared" si="0"/>
        <v>222.40705170000001</v>
      </c>
      <c r="AJ7" s="132">
        <f>SUM(P7,S7,V7,Y7)</f>
        <v>40.096800103825586</v>
      </c>
      <c r="AK7" s="132">
        <f>AI7-AJ7</f>
        <v>182.31025159617442</v>
      </c>
      <c r="AL7" s="132">
        <f>SUM(AA7:AD7)</f>
        <v>227.60218116000001</v>
      </c>
    </row>
    <row r="8" spans="2:38" s="82" customFormat="1" x14ac:dyDescent="0.25">
      <c r="B8" s="135" t="s">
        <v>75</v>
      </c>
      <c r="C8" s="143">
        <f t="shared" ref="C8:O8" si="2">C7/C5</f>
        <v>0.45258302500125064</v>
      </c>
      <c r="D8" s="143">
        <f t="shared" si="2"/>
        <v>0.43714900173926619</v>
      </c>
      <c r="E8" s="143">
        <f t="shared" si="2"/>
        <v>0.46670801543553347</v>
      </c>
      <c r="F8" s="143">
        <f t="shared" si="2"/>
        <v>0.36448465735381436</v>
      </c>
      <c r="G8" s="143">
        <f t="shared" si="2"/>
        <v>0.4594877602827292</v>
      </c>
      <c r="H8" s="143">
        <f t="shared" si="2"/>
        <v>0.4106354083407972</v>
      </c>
      <c r="I8" s="143">
        <f t="shared" si="2"/>
        <v>0.38620700160075566</v>
      </c>
      <c r="J8" s="143">
        <f t="shared" si="2"/>
        <v>0.36062321585075591</v>
      </c>
      <c r="K8" s="143">
        <f t="shared" si="2"/>
        <v>0.36066753902213011</v>
      </c>
      <c r="L8" s="143">
        <f t="shared" si="2"/>
        <v>0.34366324606669174</v>
      </c>
      <c r="M8" s="143">
        <f t="shared" si="2"/>
        <v>0.35928866463209236</v>
      </c>
      <c r="N8" s="143">
        <f t="shared" si="2"/>
        <v>0.34268451792865695</v>
      </c>
      <c r="O8" s="143">
        <f t="shared" si="2"/>
        <v>0.44785161008132796</v>
      </c>
      <c r="P8" s="143"/>
      <c r="Q8" s="143">
        <f>Q7/Q5</f>
        <v>0.373215361251936</v>
      </c>
      <c r="R8" s="143">
        <f t="shared" ref="R8" si="3">R7/R5</f>
        <v>0.39836686488200473</v>
      </c>
      <c r="S8" s="143"/>
      <c r="T8" s="143">
        <f>T7/T5</f>
        <v>0.32658478087030685</v>
      </c>
      <c r="U8" s="143">
        <f t="shared" ref="U8" si="4">U7/U5</f>
        <v>0.4086609258973305</v>
      </c>
      <c r="V8" s="143"/>
      <c r="W8" s="143">
        <f>W7/W5</f>
        <v>0.33213043082757882</v>
      </c>
      <c r="X8" s="143">
        <f t="shared" ref="X8" si="5">X7/X5</f>
        <v>0.40294826409683598</v>
      </c>
      <c r="Y8" s="143"/>
      <c r="Z8" s="143">
        <f>Z7/Z5</f>
        <v>0.32697702735402179</v>
      </c>
      <c r="AA8" s="143">
        <f t="shared" ref="AA8:AE8" si="6">AA7/AA5</f>
        <v>0.43048442439414186</v>
      </c>
      <c r="AB8" s="143">
        <f t="shared" si="6"/>
        <v>0.41437370247544641</v>
      </c>
      <c r="AC8" s="143">
        <f t="shared" si="6"/>
        <v>0.43944401088879759</v>
      </c>
      <c r="AD8" s="143">
        <f t="shared" si="6"/>
        <v>0.40931498065015121</v>
      </c>
      <c r="AE8" s="143">
        <f t="shared" si="6"/>
        <v>0.41067207648989773</v>
      </c>
      <c r="AF8" s="144">
        <f>AF7/AF5</f>
        <v>0.43064414718422661</v>
      </c>
      <c r="AG8" s="143">
        <f>AG7/AG5</f>
        <v>0.40590545873287298</v>
      </c>
      <c r="AH8" s="143">
        <f>AH7/AH5</f>
        <v>0.351561599400179</v>
      </c>
      <c r="AI8" s="143">
        <f t="shared" ref="AI8" si="7">AI7/AI5</f>
        <v>0.41440658203422731</v>
      </c>
      <c r="AJ8" s="143"/>
      <c r="AK8" s="143">
        <f>AK7/AK5</f>
        <v>0.33969502161145132</v>
      </c>
      <c r="AL8" s="143">
        <f>AL7/AL5</f>
        <v>0.4235598761304768</v>
      </c>
    </row>
    <row r="9" spans="2:38" s="82" customFormat="1" x14ac:dyDescent="0.25">
      <c r="B9" s="135" t="s">
        <v>81</v>
      </c>
      <c r="C9" s="132">
        <v>17.132459091409331</v>
      </c>
      <c r="D9" s="132">
        <v>32.767456242751898</v>
      </c>
      <c r="E9" s="132">
        <v>22.001224616289662</v>
      </c>
      <c r="F9" s="132">
        <v>64.842856101239562</v>
      </c>
      <c r="G9" s="132">
        <v>9.6068207920061255</v>
      </c>
      <c r="H9" s="132">
        <v>17.594241600896016</v>
      </c>
      <c r="I9" s="132">
        <v>27.988961744396988</v>
      </c>
      <c r="J9" s="132">
        <v>45.51824888724515</v>
      </c>
      <c r="K9" s="132">
        <v>384.97621625229448</v>
      </c>
      <c r="L9" s="132">
        <v>20.76302419711504</v>
      </c>
      <c r="M9" s="132">
        <v>9.4236735186880107</v>
      </c>
      <c r="N9" s="132">
        <v>7.778471306045871</v>
      </c>
      <c r="O9" s="132">
        <v>15.969845798998772</v>
      </c>
      <c r="P9" s="132">
        <v>8.4276318297028946E-2</v>
      </c>
      <c r="Q9" s="132">
        <f>O9-P9</f>
        <v>15.885569480701744</v>
      </c>
      <c r="R9" s="132">
        <v>21.583255702463834</v>
      </c>
      <c r="S9" s="154">
        <v>0.41219806792242153</v>
      </c>
      <c r="T9" s="132">
        <f>R9-S9</f>
        <v>21.171057634541413</v>
      </c>
      <c r="U9" s="132">
        <v>26.829393508294942</v>
      </c>
      <c r="V9" s="154">
        <v>2.2380684903788244</v>
      </c>
      <c r="W9" s="132">
        <f>U9-V9</f>
        <v>24.591325017916116</v>
      </c>
      <c r="X9" s="132">
        <v>31.582008882066635</v>
      </c>
      <c r="Y9" s="154">
        <v>11.230541333823487</v>
      </c>
      <c r="Z9" s="132">
        <f>X9-Y9</f>
        <v>20.35146754824315</v>
      </c>
      <c r="AA9" s="132">
        <v>47.538059761867608</v>
      </c>
      <c r="AB9" s="132">
        <v>22.131932995558046</v>
      </c>
      <c r="AC9" s="132">
        <v>23.683020428298384</v>
      </c>
      <c r="AD9" s="132">
        <v>64.737851793466504</v>
      </c>
      <c r="AE9" s="132">
        <v>70.44966406602029</v>
      </c>
      <c r="AF9" s="137">
        <f>SUM(C9:F9)</f>
        <v>136.74399605169046</v>
      </c>
      <c r="AG9" s="132">
        <f>SUM(G9:J9)</f>
        <v>100.70827302454428</v>
      </c>
      <c r="AH9" s="132">
        <f>SUM(K9:N9)</f>
        <v>422.94138527414339</v>
      </c>
      <c r="AI9" s="132">
        <f t="shared" ref="AI9:AI13" si="8">SUM(O9,R9,U9,X9)</f>
        <v>95.96450389182418</v>
      </c>
      <c r="AJ9" s="132">
        <f>SUM(P9,S9,V9,Y9)</f>
        <v>13.965084210421761</v>
      </c>
      <c r="AK9" s="132">
        <f>AI9-AJ9</f>
        <v>81.999419681402415</v>
      </c>
      <c r="AL9" s="132">
        <f>SUM(AA9:AD9)</f>
        <v>158.09086497919054</v>
      </c>
    </row>
    <row r="10" spans="2:38" s="82" customFormat="1" x14ac:dyDescent="0.25">
      <c r="B10" s="135" t="s">
        <v>82</v>
      </c>
      <c r="C10" s="132">
        <v>17.132459091409331</v>
      </c>
      <c r="D10" s="132">
        <v>32.767456242751898</v>
      </c>
      <c r="E10" s="132">
        <v>22.001224616289662</v>
      </c>
      <c r="F10" s="132">
        <v>64.842856101239562</v>
      </c>
      <c r="G10" s="132">
        <v>9.6068207920061255</v>
      </c>
      <c r="H10" s="132">
        <v>17.594241600896016</v>
      </c>
      <c r="I10" s="132">
        <v>27.988961744396988</v>
      </c>
      <c r="J10" s="132">
        <v>45.51824888724515</v>
      </c>
      <c r="K10" s="132">
        <v>55.132012185224681</v>
      </c>
      <c r="L10" s="132">
        <v>20.76302419711504</v>
      </c>
      <c r="M10" s="132">
        <v>9.4236735186880107</v>
      </c>
      <c r="N10" s="132">
        <v>7.778471306045871</v>
      </c>
      <c r="O10" s="132">
        <v>15.969845798998772</v>
      </c>
      <c r="P10" s="132">
        <f>P9</f>
        <v>8.4276318297028946E-2</v>
      </c>
      <c r="Q10" s="132">
        <f>O10-P10</f>
        <v>15.885569480701744</v>
      </c>
      <c r="R10" s="132">
        <v>21.583255702463834</v>
      </c>
      <c r="S10" s="154">
        <f>S9</f>
        <v>0.41219806792242153</v>
      </c>
      <c r="T10" s="132">
        <f>R10-S10</f>
        <v>21.171057634541413</v>
      </c>
      <c r="U10" s="132">
        <v>26.829393508294942</v>
      </c>
      <c r="V10" s="154">
        <f>V9</f>
        <v>2.2380684903788244</v>
      </c>
      <c r="W10" s="132">
        <f>U10-V10</f>
        <v>24.591325017916116</v>
      </c>
      <c r="X10" s="132">
        <v>31.582008882066635</v>
      </c>
      <c r="Y10" s="154">
        <f>Y9</f>
        <v>11.230541333823487</v>
      </c>
      <c r="Z10" s="132">
        <f>X10-Y10</f>
        <v>20.35146754824315</v>
      </c>
      <c r="AA10" s="132">
        <v>47.524510424606923</v>
      </c>
      <c r="AB10" s="132">
        <v>22.131932995558046</v>
      </c>
      <c r="AC10" s="132">
        <v>23.683020428298384</v>
      </c>
      <c r="AD10" s="132">
        <v>64.737851793466504</v>
      </c>
      <c r="AE10" s="132">
        <v>40.179089752244955</v>
      </c>
      <c r="AF10" s="137">
        <f>SUM(C10:F10)</f>
        <v>136.74399605169046</v>
      </c>
      <c r="AG10" s="132">
        <f>SUM(G10:J10)</f>
        <v>100.70827302454428</v>
      </c>
      <c r="AH10" s="132">
        <f>SUM(K10:N10)</f>
        <v>93.097181207073604</v>
      </c>
      <c r="AI10" s="132">
        <f t="shared" si="8"/>
        <v>95.96450389182418</v>
      </c>
      <c r="AJ10" s="132">
        <f>AJ9</f>
        <v>13.965084210421761</v>
      </c>
      <c r="AK10" s="132">
        <f>AI10-AJ10</f>
        <v>81.999419681402415</v>
      </c>
      <c r="AL10" s="132">
        <f>SUM(AA10:AD10)</f>
        <v>158.07731564192989</v>
      </c>
    </row>
    <row r="11" spans="2:38" s="82" customFormat="1" x14ac:dyDescent="0.25">
      <c r="B11" s="135" t="s">
        <v>101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54"/>
      <c r="T11" s="132"/>
      <c r="U11" s="132"/>
      <c r="V11" s="154"/>
      <c r="W11" s="132"/>
      <c r="X11" s="132"/>
      <c r="Y11" s="154"/>
      <c r="Z11" s="132"/>
      <c r="AA11" s="132">
        <v>43.58390827178566</v>
      </c>
      <c r="AB11" s="132">
        <v>15.331479420973576</v>
      </c>
      <c r="AC11" s="132">
        <v>18.405595153958373</v>
      </c>
      <c r="AD11" s="132">
        <v>48.648397980684265</v>
      </c>
      <c r="AE11" s="132">
        <v>56.607705826200586</v>
      </c>
      <c r="AF11" s="137"/>
      <c r="AG11" s="132"/>
      <c r="AH11" s="132"/>
      <c r="AI11" s="132"/>
      <c r="AJ11" s="132"/>
      <c r="AK11" s="132"/>
      <c r="AL11" s="140">
        <f>SUM(AA11:AD11)</f>
        <v>125.96938082740188</v>
      </c>
    </row>
    <row r="12" spans="2:38" s="82" customFormat="1" ht="13.5" x14ac:dyDescent="0.25">
      <c r="B12" s="135" t="s">
        <v>156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54"/>
      <c r="T12" s="132"/>
      <c r="U12" s="132"/>
      <c r="V12" s="154"/>
      <c r="W12" s="132"/>
      <c r="X12" s="132"/>
      <c r="Y12" s="154"/>
      <c r="Z12" s="132"/>
      <c r="AA12" s="132">
        <v>43.570358934524982</v>
      </c>
      <c r="AB12" s="132">
        <v>15.331479420973576</v>
      </c>
      <c r="AC12" s="132">
        <v>18.405595153958373</v>
      </c>
      <c r="AD12" s="132">
        <v>48.648397980684265</v>
      </c>
      <c r="AE12" s="132">
        <v>26.337131512425238</v>
      </c>
      <c r="AF12" s="137"/>
      <c r="AG12" s="132"/>
      <c r="AH12" s="132"/>
      <c r="AI12" s="132"/>
      <c r="AJ12" s="132"/>
      <c r="AK12" s="132"/>
      <c r="AL12" s="140">
        <f>SUM(AA12:AD12)</f>
        <v>125.95583149014119</v>
      </c>
    </row>
    <row r="13" spans="2:38" s="82" customFormat="1" x14ac:dyDescent="0.25">
      <c r="B13" s="135" t="s">
        <v>123</v>
      </c>
      <c r="C13" s="154">
        <v>13.607151179999999</v>
      </c>
      <c r="D13" s="154">
        <v>14.859615160000001</v>
      </c>
      <c r="E13" s="154">
        <v>16.56886952</v>
      </c>
      <c r="F13" s="154">
        <v>17.543041469999999</v>
      </c>
      <c r="G13" s="154">
        <v>19.208284260000006</v>
      </c>
      <c r="H13" s="154">
        <v>19.034439020000001</v>
      </c>
      <c r="I13" s="154">
        <v>20.473113359999999</v>
      </c>
      <c r="J13" s="154">
        <v>19.202005109999998</v>
      </c>
      <c r="K13" s="154">
        <v>19.847887119999999</v>
      </c>
      <c r="L13" s="154">
        <v>21.027017530000002</v>
      </c>
      <c r="M13" s="154">
        <v>22.158536200000004</v>
      </c>
      <c r="N13" s="154">
        <v>23.563242539999997</v>
      </c>
      <c r="O13" s="154">
        <v>26.734629039999998</v>
      </c>
      <c r="P13" s="154"/>
      <c r="Q13" s="154">
        <f t="shared" ref="Q13:Q18" si="9">O13</f>
        <v>26.734629039999998</v>
      </c>
      <c r="R13" s="154">
        <v>26.728962929999998</v>
      </c>
      <c r="S13" s="154"/>
      <c r="T13" s="154">
        <f t="shared" ref="T13:T18" si="10">R13</f>
        <v>26.728962929999998</v>
      </c>
      <c r="U13" s="154">
        <v>27.802258559999999</v>
      </c>
      <c r="V13" s="154"/>
      <c r="W13" s="154">
        <f t="shared" ref="W13:W18" si="11">U13</f>
        <v>27.802258559999999</v>
      </c>
      <c r="X13" s="154">
        <v>27.685406149999999</v>
      </c>
      <c r="Y13" s="154"/>
      <c r="Z13" s="154">
        <f t="shared" ref="Z13:Z18" si="12">X13</f>
        <v>27.685406149999999</v>
      </c>
      <c r="AA13" s="154">
        <v>31.301604280000003</v>
      </c>
      <c r="AB13" s="154">
        <v>34.576934299999998</v>
      </c>
      <c r="AC13" s="154">
        <v>33.290764019999997</v>
      </c>
      <c r="AD13" s="154">
        <v>33.822747440000001</v>
      </c>
      <c r="AE13" s="154">
        <v>35.31594406</v>
      </c>
      <c r="AF13" s="137">
        <f>SUM(C13:F13)</f>
        <v>62.578677329999998</v>
      </c>
      <c r="AG13" s="132">
        <f>SUM(G13:J13)</f>
        <v>77.917841750000008</v>
      </c>
      <c r="AH13" s="132">
        <f>SUM(K13:N13)</f>
        <v>86.59668339000001</v>
      </c>
      <c r="AI13" s="132">
        <f t="shared" si="8"/>
        <v>108.95125668</v>
      </c>
      <c r="AJ13" s="132"/>
      <c r="AK13" s="132">
        <f t="shared" ref="AK13:AK18" si="13">AI13</f>
        <v>108.95125668</v>
      </c>
      <c r="AL13" s="132">
        <f>SUM(AA13:AD13)</f>
        <v>132.99205003999998</v>
      </c>
    </row>
    <row r="14" spans="2:38" s="82" customFormat="1" x14ac:dyDescent="0.25">
      <c r="B14" s="135" t="s">
        <v>107</v>
      </c>
      <c r="C14" s="154">
        <v>31.575209999999998</v>
      </c>
      <c r="D14" s="154">
        <v>31.145432</v>
      </c>
      <c r="E14" s="154">
        <v>28.960978000000001</v>
      </c>
      <c r="F14" s="154">
        <v>30.376759</v>
      </c>
      <c r="G14" s="154">
        <v>30.501653999999998</v>
      </c>
      <c r="H14" s="154">
        <v>30.686364999999999</v>
      </c>
      <c r="I14" s="154">
        <v>31.399246000000002</v>
      </c>
      <c r="J14" s="154">
        <v>31.345283999999999</v>
      </c>
      <c r="K14" s="154">
        <v>32.195967000000003</v>
      </c>
      <c r="L14" s="154">
        <v>31.958010000000002</v>
      </c>
      <c r="M14" s="154">
        <v>32.286487999999999</v>
      </c>
      <c r="N14" s="154">
        <v>32.328217000000002</v>
      </c>
      <c r="O14" s="154">
        <v>32.97081</v>
      </c>
      <c r="P14" s="154"/>
      <c r="Q14" s="154">
        <f t="shared" si="9"/>
        <v>32.97081</v>
      </c>
      <c r="R14" s="154">
        <v>32.942247000000002</v>
      </c>
      <c r="S14" s="154"/>
      <c r="T14" s="154">
        <f t="shared" si="10"/>
        <v>32.942247000000002</v>
      </c>
      <c r="U14" s="154">
        <v>33.065908999999998</v>
      </c>
      <c r="V14" s="154"/>
      <c r="W14" s="154">
        <f t="shared" si="11"/>
        <v>33.065908999999998</v>
      </c>
      <c r="X14" s="154">
        <v>33.636215999999997</v>
      </c>
      <c r="Y14" s="154"/>
      <c r="Z14" s="154">
        <f t="shared" si="12"/>
        <v>33.636215999999997</v>
      </c>
      <c r="AA14" s="154">
        <v>33.597498999999999</v>
      </c>
      <c r="AB14" s="154">
        <v>32.105297</v>
      </c>
      <c r="AC14" s="154">
        <v>32.805123000000002</v>
      </c>
      <c r="AD14" s="154">
        <v>33.207357000000002</v>
      </c>
      <c r="AE14" s="154">
        <v>34.260451000000003</v>
      </c>
      <c r="AF14" s="155">
        <f>F14</f>
        <v>30.376759</v>
      </c>
      <c r="AG14" s="154">
        <f>J14</f>
        <v>31.345283999999999</v>
      </c>
      <c r="AH14" s="154">
        <f>N14</f>
        <v>32.328217000000002</v>
      </c>
      <c r="AI14" s="154">
        <f>X14</f>
        <v>33.636215999999997</v>
      </c>
      <c r="AJ14" s="154"/>
      <c r="AK14" s="154">
        <f t="shared" si="13"/>
        <v>33.636215999999997</v>
      </c>
      <c r="AL14" s="154">
        <f>AD14</f>
        <v>33.207357000000002</v>
      </c>
    </row>
    <row r="15" spans="2:38" s="82" customFormat="1" x14ac:dyDescent="0.25">
      <c r="B15" s="135" t="s">
        <v>134</v>
      </c>
      <c r="C15" s="154">
        <v>1.5917361372571888</v>
      </c>
      <c r="D15" s="154">
        <v>1.6143096236164165</v>
      </c>
      <c r="E15" s="154">
        <v>1.6953354022197189</v>
      </c>
      <c r="F15" s="154">
        <v>1.6486284187076425</v>
      </c>
      <c r="G15" s="154">
        <v>1.6071560043240067</v>
      </c>
      <c r="H15" s="154">
        <v>1.5656905785210447</v>
      </c>
      <c r="I15" s="154">
        <v>1.496134205503215</v>
      </c>
      <c r="J15" s="154">
        <v>1.3420745024307301</v>
      </c>
      <c r="K15" s="154">
        <v>1.3099075667658269</v>
      </c>
      <c r="L15" s="154">
        <v>1.2970491291599899</v>
      </c>
      <c r="M15" s="154">
        <v>1.3162696896887054</v>
      </c>
      <c r="N15" s="154">
        <v>1.3123380025233162</v>
      </c>
      <c r="O15" s="154">
        <v>1.3310997367030701</v>
      </c>
      <c r="P15" s="154"/>
      <c r="Q15" s="154">
        <f t="shared" si="9"/>
        <v>1.3310997367030701</v>
      </c>
      <c r="R15" s="154">
        <v>1.3512583360633184</v>
      </c>
      <c r="S15" s="154"/>
      <c r="T15" s="154">
        <f t="shared" si="10"/>
        <v>1.3512583360633184</v>
      </c>
      <c r="U15" s="154">
        <v>1.3376046997384181</v>
      </c>
      <c r="V15" s="154"/>
      <c r="W15" s="154">
        <f t="shared" si="11"/>
        <v>1.3376046997384181</v>
      </c>
      <c r="X15" s="154">
        <v>1.2806188736365847</v>
      </c>
      <c r="Y15" s="154"/>
      <c r="Z15" s="154">
        <f t="shared" si="12"/>
        <v>1.2806188736365847</v>
      </c>
      <c r="AA15" s="154">
        <v>1.3311285722250112</v>
      </c>
      <c r="AB15" s="154">
        <v>1.2972790702341901</v>
      </c>
      <c r="AC15" s="154">
        <v>1.3689578089311392</v>
      </c>
      <c r="AD15" s="154">
        <v>1.3256184629532679</v>
      </c>
      <c r="AE15" s="154">
        <v>1.3071429762966855</v>
      </c>
      <c r="AF15" s="155" t="s">
        <v>110</v>
      </c>
      <c r="AG15" s="154" t="s">
        <v>110</v>
      </c>
      <c r="AH15" s="154" t="s">
        <v>110</v>
      </c>
      <c r="AI15" s="154" t="s">
        <v>110</v>
      </c>
      <c r="AJ15" s="154"/>
      <c r="AK15" s="154" t="str">
        <f t="shared" si="13"/>
        <v>n.a.</v>
      </c>
      <c r="AL15" s="154" t="s">
        <v>110</v>
      </c>
    </row>
    <row r="16" spans="2:38" s="82" customFormat="1" x14ac:dyDescent="0.25">
      <c r="B16" s="135" t="s">
        <v>135</v>
      </c>
      <c r="C16" s="154">
        <v>311.4208719644256</v>
      </c>
      <c r="D16" s="154">
        <v>315.70837220781146</v>
      </c>
      <c r="E16" s="154">
        <v>321.870564425103</v>
      </c>
      <c r="F16" s="154">
        <v>321.70094518250647</v>
      </c>
      <c r="G16" s="154">
        <v>305.44949446995429</v>
      </c>
      <c r="H16" s="154">
        <v>285.38690811744931</v>
      </c>
      <c r="I16" s="154">
        <v>280.14074533491083</v>
      </c>
      <c r="J16" s="154">
        <v>274.27423137411341</v>
      </c>
      <c r="K16" s="154">
        <v>271.56999877953291</v>
      </c>
      <c r="L16" s="154">
        <v>270.04826637824806</v>
      </c>
      <c r="M16" s="154">
        <v>254.70986883701701</v>
      </c>
      <c r="N16" s="154">
        <v>231.71269945884094</v>
      </c>
      <c r="O16" s="154">
        <v>231.59515568473424</v>
      </c>
      <c r="P16" s="154"/>
      <c r="Q16" s="154">
        <f t="shared" si="9"/>
        <v>231.59515568473424</v>
      </c>
      <c r="R16" s="154">
        <v>235.68157931915269</v>
      </c>
      <c r="S16" s="154"/>
      <c r="T16" s="154">
        <f t="shared" si="10"/>
        <v>235.68157931915269</v>
      </c>
      <c r="U16" s="154">
        <v>232.23267534292782</v>
      </c>
      <c r="V16" s="154"/>
      <c r="W16" s="154">
        <f t="shared" si="11"/>
        <v>232.23267534292782</v>
      </c>
      <c r="X16" s="154">
        <v>226.21927861958417</v>
      </c>
      <c r="Y16" s="154"/>
      <c r="Z16" s="154">
        <f t="shared" si="12"/>
        <v>226.21927861958417</v>
      </c>
      <c r="AA16" s="154">
        <v>228.46195997043051</v>
      </c>
      <c r="AB16" s="154">
        <v>211.76477614783187</v>
      </c>
      <c r="AC16" s="154">
        <v>231.2961182813689</v>
      </c>
      <c r="AD16" s="154">
        <v>224.23452885100915</v>
      </c>
      <c r="AE16" s="154">
        <v>222.65197564256619</v>
      </c>
      <c r="AF16" s="137" t="s">
        <v>110</v>
      </c>
      <c r="AG16" s="132" t="s">
        <v>110</v>
      </c>
      <c r="AH16" s="132" t="s">
        <v>110</v>
      </c>
      <c r="AI16" s="132" t="s">
        <v>110</v>
      </c>
      <c r="AJ16" s="132"/>
      <c r="AK16" s="132" t="str">
        <f t="shared" si="13"/>
        <v>n.a.</v>
      </c>
      <c r="AL16" s="132" t="s">
        <v>110</v>
      </c>
    </row>
    <row r="17" spans="2:38" s="82" customFormat="1" x14ac:dyDescent="0.25">
      <c r="B17" s="135" t="s">
        <v>126</v>
      </c>
      <c r="C17" s="143">
        <v>0</v>
      </c>
      <c r="D17" s="143">
        <v>4.6600926055571944E-2</v>
      </c>
      <c r="E17" s="143">
        <v>0.13883570820483207</v>
      </c>
      <c r="F17" s="143">
        <v>4.61503949838869E-2</v>
      </c>
      <c r="G17" s="143">
        <v>5.4688777777436477E-2</v>
      </c>
      <c r="H17" s="143">
        <v>5.3846914050281643E-2</v>
      </c>
      <c r="I17" s="143">
        <v>5.9214364500657007E-2</v>
      </c>
      <c r="J17" s="143">
        <v>6.8937387848789375E-2</v>
      </c>
      <c r="K17" s="143">
        <v>6.0229188751729175E-2</v>
      </c>
      <c r="L17" s="143">
        <v>6.7060846438249652E-2</v>
      </c>
      <c r="M17" s="143">
        <v>5.8720016770930326E-2</v>
      </c>
      <c r="N17" s="143">
        <v>7.4650870881481229E-2</v>
      </c>
      <c r="O17" s="143">
        <v>6.1906374194519012E-2</v>
      </c>
      <c r="P17" s="143"/>
      <c r="Q17" s="143">
        <f t="shared" si="9"/>
        <v>6.1906374194519012E-2</v>
      </c>
      <c r="R17" s="143">
        <v>7.8531359879120757E-2</v>
      </c>
      <c r="S17" s="143"/>
      <c r="T17" s="143">
        <f t="shared" si="10"/>
        <v>7.8531359879120757E-2</v>
      </c>
      <c r="U17" s="143">
        <v>7.7015785746234147E-2</v>
      </c>
      <c r="V17" s="143"/>
      <c r="W17" s="143">
        <f t="shared" si="11"/>
        <v>7.7015785746234147E-2</v>
      </c>
      <c r="X17" s="143">
        <v>6.2523225459458751E-2</v>
      </c>
      <c r="Y17" s="143"/>
      <c r="Z17" s="143">
        <f t="shared" si="12"/>
        <v>6.2523225459458751E-2</v>
      </c>
      <c r="AA17" s="143">
        <v>7.5386314738074486E-2</v>
      </c>
      <c r="AB17" s="143">
        <v>6.6999431805002632E-2</v>
      </c>
      <c r="AC17" s="143">
        <v>4.7836140946245609E-2</v>
      </c>
      <c r="AD17" s="143">
        <v>7.8054361841882025E-2</v>
      </c>
      <c r="AE17" s="143">
        <v>6.1781879737370454E-2</v>
      </c>
      <c r="AF17" s="144" t="s">
        <v>110</v>
      </c>
      <c r="AG17" s="143" t="s">
        <v>110</v>
      </c>
      <c r="AH17" s="143" t="s">
        <v>110</v>
      </c>
      <c r="AI17" s="143" t="s">
        <v>110</v>
      </c>
      <c r="AJ17" s="143"/>
      <c r="AK17" s="143" t="str">
        <f t="shared" si="13"/>
        <v>n.a.</v>
      </c>
      <c r="AL17" s="143" t="s">
        <v>110</v>
      </c>
    </row>
    <row r="18" spans="2:38" s="82" customFormat="1" ht="12" thickBot="1" x14ac:dyDescent="0.3">
      <c r="B18" s="247" t="s">
        <v>127</v>
      </c>
      <c r="C18" s="279">
        <v>157.47368514263323</v>
      </c>
      <c r="D18" s="279">
        <v>167.35045010517982</v>
      </c>
      <c r="E18" s="279">
        <v>253.64714955903437</v>
      </c>
      <c r="F18" s="279">
        <v>391.16995548973529</v>
      </c>
      <c r="G18" s="279">
        <v>304.23862730885816</v>
      </c>
      <c r="H18" s="279">
        <v>363.56865053877249</v>
      </c>
      <c r="I18" s="279">
        <v>523.49309230052347</v>
      </c>
      <c r="J18" s="279">
        <v>579.82649267053887</v>
      </c>
      <c r="K18" s="279">
        <v>600.3767648360398</v>
      </c>
      <c r="L18" s="279">
        <v>683.54330855893966</v>
      </c>
      <c r="M18" s="279">
        <v>734.10676025219163</v>
      </c>
      <c r="N18" s="279">
        <v>1023.9975915200134</v>
      </c>
      <c r="O18" s="279">
        <v>1267.3971831079227</v>
      </c>
      <c r="P18" s="279"/>
      <c r="Q18" s="279">
        <f t="shared" si="9"/>
        <v>1267.3971831079227</v>
      </c>
      <c r="R18" s="279">
        <v>1404.3428038870932</v>
      </c>
      <c r="S18" s="279"/>
      <c r="T18" s="279">
        <f t="shared" si="10"/>
        <v>1404.3428038870932</v>
      </c>
      <c r="U18" s="279">
        <v>1523.386024117872</v>
      </c>
      <c r="V18" s="279"/>
      <c r="W18" s="279">
        <f t="shared" si="11"/>
        <v>1523.386024117872</v>
      </c>
      <c r="X18" s="279">
        <v>1559.5800327024647</v>
      </c>
      <c r="Y18" s="279"/>
      <c r="Z18" s="279">
        <f t="shared" si="12"/>
        <v>1559.5800327024647</v>
      </c>
      <c r="AA18" s="279">
        <v>1936.0569087327394</v>
      </c>
      <c r="AB18" s="279">
        <v>2506.0257672836078</v>
      </c>
      <c r="AC18" s="279">
        <v>2326.4373169372889</v>
      </c>
      <c r="AD18" s="279">
        <v>2421.509918339279</v>
      </c>
      <c r="AE18" s="279">
        <v>2804.8544008240528</v>
      </c>
      <c r="AF18" s="249" t="s">
        <v>110</v>
      </c>
      <c r="AG18" s="250" t="s">
        <v>110</v>
      </c>
      <c r="AH18" s="250" t="s">
        <v>110</v>
      </c>
      <c r="AI18" s="250" t="s">
        <v>110</v>
      </c>
      <c r="AJ18" s="250"/>
      <c r="AK18" s="250" t="str">
        <f t="shared" si="13"/>
        <v>n.a.</v>
      </c>
      <c r="AL18" s="251" t="s">
        <v>110</v>
      </c>
    </row>
    <row r="19" spans="2:38" s="28" customFormat="1" x14ac:dyDescent="0.25"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7"/>
      <c r="AB19" s="217"/>
      <c r="AC19" s="217"/>
      <c r="AD19" s="217"/>
      <c r="AE19" s="217"/>
      <c r="AF19" s="220"/>
      <c r="AG19" s="216"/>
      <c r="AH19" s="216"/>
      <c r="AI19" s="216"/>
      <c r="AJ19" s="216"/>
      <c r="AK19" s="216"/>
      <c r="AL19" s="216"/>
    </row>
    <row r="20" spans="2:38" s="28" customFormat="1" ht="12" thickBot="1" x14ac:dyDescent="0.3">
      <c r="B20" s="36" t="s">
        <v>141</v>
      </c>
      <c r="AA20" s="6"/>
      <c r="AB20" s="6"/>
      <c r="AC20" s="6"/>
      <c r="AD20" s="6"/>
      <c r="AE20" s="6"/>
      <c r="AF20" s="221"/>
    </row>
    <row r="21" spans="2:38" s="82" customFormat="1" ht="12.5" thickTop="1" thickBot="1" x14ac:dyDescent="0.3">
      <c r="B21" s="38" t="s">
        <v>102</v>
      </c>
      <c r="C21" s="43" t="s">
        <v>92</v>
      </c>
      <c r="D21" s="43" t="s">
        <v>93</v>
      </c>
      <c r="E21" s="43" t="s">
        <v>44</v>
      </c>
      <c r="F21" s="43" t="s">
        <v>45</v>
      </c>
      <c r="G21" s="43" t="s">
        <v>46</v>
      </c>
      <c r="H21" s="43" t="s">
        <v>47</v>
      </c>
      <c r="I21" s="43" t="s">
        <v>48</v>
      </c>
      <c r="J21" s="43" t="s">
        <v>49</v>
      </c>
      <c r="K21" s="43" t="s">
        <v>50</v>
      </c>
      <c r="L21" s="43" t="s">
        <v>51</v>
      </c>
      <c r="M21" s="43" t="s">
        <v>52</v>
      </c>
      <c r="N21" s="43" t="s">
        <v>53</v>
      </c>
      <c r="O21" s="43" t="s">
        <v>54</v>
      </c>
      <c r="P21" s="43" t="s">
        <v>55</v>
      </c>
      <c r="Q21" s="43" t="s">
        <v>56</v>
      </c>
      <c r="R21" s="43" t="s">
        <v>57</v>
      </c>
      <c r="S21" s="43" t="s">
        <v>55</v>
      </c>
      <c r="T21" s="43" t="s">
        <v>58</v>
      </c>
      <c r="U21" s="43" t="s">
        <v>59</v>
      </c>
      <c r="V21" s="43" t="s">
        <v>55</v>
      </c>
      <c r="W21" s="43" t="s">
        <v>60</v>
      </c>
      <c r="X21" s="43" t="s">
        <v>61</v>
      </c>
      <c r="Y21" s="43" t="s">
        <v>55</v>
      </c>
      <c r="Z21" s="43" t="s">
        <v>62</v>
      </c>
      <c r="AA21" s="180" t="s">
        <v>7</v>
      </c>
      <c r="AB21" s="180" t="s">
        <v>63</v>
      </c>
      <c r="AC21" s="180" t="s">
        <v>64</v>
      </c>
      <c r="AD21" s="180" t="s">
        <v>65</v>
      </c>
      <c r="AE21" s="180" t="s">
        <v>6</v>
      </c>
      <c r="AF21" s="134" t="s">
        <v>94</v>
      </c>
      <c r="AG21" s="43" t="s">
        <v>67</v>
      </c>
      <c r="AH21" s="43" t="s">
        <v>68</v>
      </c>
      <c r="AI21" s="43" t="s">
        <v>69</v>
      </c>
      <c r="AJ21" s="43" t="s">
        <v>55</v>
      </c>
      <c r="AK21" s="43" t="s">
        <v>70</v>
      </c>
      <c r="AL21" s="44" t="s">
        <v>71</v>
      </c>
    </row>
    <row r="22" spans="2:38" s="82" customFormat="1" x14ac:dyDescent="0.25">
      <c r="B22" s="135" t="s">
        <v>72</v>
      </c>
      <c r="C22" s="154">
        <v>12.150972768440001</v>
      </c>
      <c r="D22" s="154">
        <v>12.319525462750001</v>
      </c>
      <c r="E22" s="154">
        <v>12.258061296180001</v>
      </c>
      <c r="F22" s="154">
        <v>11.958332703350001</v>
      </c>
      <c r="G22" s="154">
        <v>12.006450837999999</v>
      </c>
      <c r="H22" s="154">
        <v>11.951221415999999</v>
      </c>
      <c r="I22" s="154">
        <v>11.692760276</v>
      </c>
      <c r="J22" s="154">
        <v>10.820248589</v>
      </c>
      <c r="K22" s="154">
        <v>10.730205752</v>
      </c>
      <c r="L22" s="154">
        <v>10.946119442000001</v>
      </c>
      <c r="M22" s="154">
        <v>11.011713890999999</v>
      </c>
      <c r="N22" s="154">
        <v>10.964945349000001</v>
      </c>
      <c r="O22" s="154">
        <v>11.212974227</v>
      </c>
      <c r="P22" s="154"/>
      <c r="Q22" s="154">
        <f>O22</f>
        <v>11.212974227</v>
      </c>
      <c r="R22" s="154">
        <v>11.536767497</v>
      </c>
      <c r="S22" s="154"/>
      <c r="T22" s="154">
        <f>R22</f>
        <v>11.536767497</v>
      </c>
      <c r="U22" s="154">
        <v>11.435081721</v>
      </c>
      <c r="V22" s="154"/>
      <c r="W22" s="154">
        <f>U22</f>
        <v>11.435081721</v>
      </c>
      <c r="X22" s="154">
        <v>11.098841599</v>
      </c>
      <c r="Y22" s="154"/>
      <c r="Z22" s="154">
        <f>X22</f>
        <v>11.098841599</v>
      </c>
      <c r="AA22" s="227">
        <v>11.629194691</v>
      </c>
      <c r="AB22" s="227">
        <v>11.081552182999999</v>
      </c>
      <c r="AC22" s="227">
        <v>11.530673553</v>
      </c>
      <c r="AD22" s="227">
        <v>11.359741917999999</v>
      </c>
      <c r="AE22" s="280">
        <v>11.440166518</v>
      </c>
      <c r="AF22" s="281">
        <f>SUM(C22:F22)</f>
        <v>48.686892230720005</v>
      </c>
      <c r="AG22" s="132">
        <f>SUM(G22:J22)</f>
        <v>46.470681118999998</v>
      </c>
      <c r="AH22" s="132">
        <f>SUM(K22:N22)</f>
        <v>43.652984434000004</v>
      </c>
      <c r="AI22" s="132">
        <f t="shared" ref="AI22:AI24" si="14">SUM(O22,R22,U22,X22)</f>
        <v>45.283665044000003</v>
      </c>
      <c r="AJ22" s="132"/>
      <c r="AK22" s="132">
        <f>AI22</f>
        <v>45.283665044000003</v>
      </c>
      <c r="AL22" s="132">
        <f>SUM(AA22:AD22)</f>
        <v>45.601162344999999</v>
      </c>
    </row>
    <row r="23" spans="2:38" s="82" customFormat="1" x14ac:dyDescent="0.25">
      <c r="B23" s="159" t="s">
        <v>73</v>
      </c>
      <c r="C23" s="154">
        <v>11.992678424440001</v>
      </c>
      <c r="D23" s="154">
        <v>11.940826007749999</v>
      </c>
      <c r="E23" s="154">
        <v>12.00027128018</v>
      </c>
      <c r="F23" s="154">
        <v>11.57247854135</v>
      </c>
      <c r="G23" s="154">
        <v>11.693149149</v>
      </c>
      <c r="H23" s="154">
        <v>11.635087394999999</v>
      </c>
      <c r="I23" s="154">
        <v>11.323620562</v>
      </c>
      <c r="J23" s="154">
        <v>10.420067867</v>
      </c>
      <c r="K23" s="154">
        <v>10.392063339</v>
      </c>
      <c r="L23" s="154">
        <v>10.472165502999999</v>
      </c>
      <c r="M23" s="154">
        <v>10.660698817</v>
      </c>
      <c r="N23" s="154">
        <v>10.686475913000001</v>
      </c>
      <c r="O23" s="154">
        <v>10.950823011000001</v>
      </c>
      <c r="P23" s="154"/>
      <c r="Q23" s="154">
        <f>O23</f>
        <v>10.950823011000001</v>
      </c>
      <c r="R23" s="154">
        <v>11.28412071</v>
      </c>
      <c r="S23" s="154"/>
      <c r="T23" s="154">
        <f>R23</f>
        <v>11.28412071</v>
      </c>
      <c r="U23" s="154">
        <v>11.212913491</v>
      </c>
      <c r="V23" s="154"/>
      <c r="W23" s="154">
        <f>U23</f>
        <v>11.212913491</v>
      </c>
      <c r="X23" s="154">
        <v>10.884119899</v>
      </c>
      <c r="Y23" s="154"/>
      <c r="Z23" s="154">
        <f>X23</f>
        <v>10.884119899</v>
      </c>
      <c r="AA23" s="154">
        <v>11.413219159000001</v>
      </c>
      <c r="AB23" s="154">
        <v>10.862150712</v>
      </c>
      <c r="AC23" s="154">
        <v>11.315189651000001</v>
      </c>
      <c r="AD23" s="154">
        <v>11.135271401000001</v>
      </c>
      <c r="AE23" s="154">
        <v>11.217650262999999</v>
      </c>
      <c r="AF23" s="155">
        <f>SUM(C23:F23)</f>
        <v>47.506254253720002</v>
      </c>
      <c r="AG23" s="132">
        <f>SUM(G23:J23)</f>
        <v>45.071924973000002</v>
      </c>
      <c r="AH23" s="132">
        <f>SUM(K23:N23)</f>
        <v>42.211403572000002</v>
      </c>
      <c r="AI23" s="132">
        <f t="shared" si="14"/>
        <v>44.331977111</v>
      </c>
      <c r="AJ23" s="132"/>
      <c r="AK23" s="132">
        <f t="shared" ref="AK23" si="15">AI23</f>
        <v>44.331977111</v>
      </c>
      <c r="AL23" s="132">
        <f>SUM(AA23:AD23)</f>
        <v>44.725830923000004</v>
      </c>
    </row>
    <row r="24" spans="2:38" s="82" customFormat="1" x14ac:dyDescent="0.25">
      <c r="B24" s="135" t="s">
        <v>74</v>
      </c>
      <c r="C24" s="154">
        <v>5.499638654</v>
      </c>
      <c r="D24" s="154">
        <v>5.3855554229999996</v>
      </c>
      <c r="E24" s="154">
        <v>5.7209864609999999</v>
      </c>
      <c r="F24" s="154">
        <v>4.3574177110000001</v>
      </c>
      <c r="G24" s="154">
        <v>5.5169876799999997</v>
      </c>
      <c r="H24" s="154">
        <v>4.9077713660000004</v>
      </c>
      <c r="I24" s="154">
        <v>4.5150529989999999</v>
      </c>
      <c r="J24" s="154">
        <v>3.901355251</v>
      </c>
      <c r="K24" s="154">
        <v>3.8699050530000001</v>
      </c>
      <c r="L24" s="154">
        <v>3.761970453</v>
      </c>
      <c r="M24" s="154">
        <v>3.9563157900000001</v>
      </c>
      <c r="N24" s="154">
        <v>3.7583191290000002</v>
      </c>
      <c r="O24" s="154">
        <v>5.0217502940000003</v>
      </c>
      <c r="P24" s="154">
        <v>0.83687915694259563</v>
      </c>
      <c r="Q24" s="154">
        <f>O24-P24</f>
        <v>4.1848711370574048</v>
      </c>
      <c r="R24" s="154">
        <v>4.5950220359999996</v>
      </c>
      <c r="S24" s="154">
        <v>0.82810436902111695</v>
      </c>
      <c r="T24" s="154">
        <f>R24-S24</f>
        <v>3.7669176669788826</v>
      </c>
      <c r="U24" s="154">
        <v>4.6730767819999999</v>
      </c>
      <c r="V24" s="154">
        <v>0.87513243964314003</v>
      </c>
      <c r="W24" s="154">
        <f>U24-V24</f>
        <v>3.79794434235686</v>
      </c>
      <c r="X24" s="154">
        <v>4.472020176</v>
      </c>
      <c r="Y24" s="154">
        <v>0.84320397063904118</v>
      </c>
      <c r="Z24" s="154">
        <f>X24-Y24</f>
        <v>3.6288162053609589</v>
      </c>
      <c r="AA24" s="154">
        <v>5.0061844710000001</v>
      </c>
      <c r="AB24" s="154">
        <v>4.5919021610000001</v>
      </c>
      <c r="AC24" s="154">
        <v>5.0670728519999999</v>
      </c>
      <c r="AD24" s="154">
        <v>4.6497733630000004</v>
      </c>
      <c r="AE24" s="154">
        <v>4.6981585370000003</v>
      </c>
      <c r="AF24" s="155">
        <f>SUM(C24:F24)</f>
        <v>20.963598249</v>
      </c>
      <c r="AG24" s="132">
        <f>SUM(G24:J24)</f>
        <v>18.841167296000002</v>
      </c>
      <c r="AH24" s="132">
        <f>SUM(K24:N24)</f>
        <v>15.346510425</v>
      </c>
      <c r="AI24" s="132">
        <f t="shared" si="14"/>
        <v>18.761869288</v>
      </c>
      <c r="AJ24" s="132">
        <f>SUM(P24,S24,V24,Y24)</f>
        <v>3.3833199362458934</v>
      </c>
      <c r="AK24" s="132">
        <f>AI24-AJ24</f>
        <v>15.378549351754106</v>
      </c>
      <c r="AL24" s="132">
        <f>SUM(AA24:AD24)</f>
        <v>19.314932847000001</v>
      </c>
    </row>
    <row r="25" spans="2:38" s="82" customFormat="1" x14ac:dyDescent="0.25">
      <c r="B25" s="135" t="s">
        <v>75</v>
      </c>
      <c r="C25" s="143">
        <f t="shared" ref="C25:O25" si="16">C24/C22</f>
        <v>0.45260891936852471</v>
      </c>
      <c r="D25" s="143">
        <f t="shared" si="16"/>
        <v>0.43715607709761739</v>
      </c>
      <c r="E25" s="143">
        <f t="shared" si="16"/>
        <v>0.4667121759933473</v>
      </c>
      <c r="F25" s="143">
        <f t="shared" si="16"/>
        <v>0.36438338178860968</v>
      </c>
      <c r="G25" s="143">
        <f t="shared" si="16"/>
        <v>0.45950195894184864</v>
      </c>
      <c r="H25" s="143">
        <f t="shared" si="16"/>
        <v>0.41065019173936462</v>
      </c>
      <c r="I25" s="143">
        <f t="shared" si="16"/>
        <v>0.38614090192778361</v>
      </c>
      <c r="J25" s="143">
        <f t="shared" si="16"/>
        <v>0.36056059330893436</v>
      </c>
      <c r="K25" s="143">
        <f t="shared" si="16"/>
        <v>0.36065525139428845</v>
      </c>
      <c r="L25" s="143">
        <f t="shared" si="16"/>
        <v>0.34368074210531713</v>
      </c>
      <c r="M25" s="143">
        <f t="shared" si="16"/>
        <v>0.35928247220748649</v>
      </c>
      <c r="N25" s="143">
        <f t="shared" si="16"/>
        <v>0.34275767086634479</v>
      </c>
      <c r="O25" s="143">
        <f t="shared" si="16"/>
        <v>0.44785176460211623</v>
      </c>
      <c r="P25" s="143"/>
      <c r="Q25" s="143">
        <f>Q24/Q22</f>
        <v>0.37321686934591797</v>
      </c>
      <c r="R25" s="143">
        <f t="shared" ref="R25" si="17">R24/R22</f>
        <v>0.39829371937978997</v>
      </c>
      <c r="S25" s="143"/>
      <c r="T25" s="143">
        <f>T24/T22</f>
        <v>0.32651413560673953</v>
      </c>
      <c r="U25" s="143">
        <f t="shared" ref="U25" si="18">U24/U22</f>
        <v>0.40866142420461327</v>
      </c>
      <c r="V25" s="143"/>
      <c r="W25" s="143">
        <f>W24/W22</f>
        <v>0.33213093137604</v>
      </c>
      <c r="X25" s="143">
        <f t="shared" ref="X25" si="19">X24/X22</f>
        <v>0.40292675015768553</v>
      </c>
      <c r="Y25" s="143"/>
      <c r="Z25" s="143">
        <f>Z24/Z22</f>
        <v>0.3269544999802424</v>
      </c>
      <c r="AA25" s="143">
        <f t="shared" ref="AA25:AE25" si="20">AA24/AA22</f>
        <v>0.43048419121182635</v>
      </c>
      <c r="AB25" s="143">
        <f t="shared" si="20"/>
        <v>0.41437355391822733</v>
      </c>
      <c r="AC25" s="143">
        <f t="shared" si="20"/>
        <v>0.43944291967936872</v>
      </c>
      <c r="AD25" s="143">
        <f t="shared" si="20"/>
        <v>0.409320334613609</v>
      </c>
      <c r="AE25" s="143">
        <f t="shared" si="20"/>
        <v>0.41067221614369864</v>
      </c>
      <c r="AF25" s="144">
        <f>AF24/AF22</f>
        <v>0.43057992179202154</v>
      </c>
      <c r="AG25" s="143">
        <f>AG24/AG22</f>
        <v>0.40544203016418889</v>
      </c>
      <c r="AH25" s="143">
        <f>AH24/AH22</f>
        <v>0.35155695822361832</v>
      </c>
      <c r="AI25" s="143">
        <f t="shared" ref="AI25" si="21">AI24/AI22</f>
        <v>0.41431870123078546</v>
      </c>
      <c r="AJ25" s="143"/>
      <c r="AK25" s="143">
        <f>AK24/AK22</f>
        <v>0.33960478545213807</v>
      </c>
      <c r="AL25" s="143">
        <f>AL24/AL22</f>
        <v>0.42356229213788482</v>
      </c>
    </row>
    <row r="26" spans="2:38" s="82" customFormat="1" x14ac:dyDescent="0.25">
      <c r="B26" s="135" t="s">
        <v>81</v>
      </c>
      <c r="C26" s="154">
        <v>1.3432267533186164</v>
      </c>
      <c r="D26" s="154">
        <v>2.5672968989488387</v>
      </c>
      <c r="E26" s="154">
        <v>1.7233804885278323</v>
      </c>
      <c r="F26" s="154">
        <v>5.1070601795262105</v>
      </c>
      <c r="G26" s="154">
        <v>0.76175097645307688</v>
      </c>
      <c r="H26" s="154">
        <v>1.4223707848612517</v>
      </c>
      <c r="I26" s="154">
        <v>2.2723556627313224</v>
      </c>
      <c r="J26" s="154">
        <v>3.7496587906402805</v>
      </c>
      <c r="K26" s="154">
        <v>32.060238814708775</v>
      </c>
      <c r="L26" s="154">
        <v>1.7380645379779669</v>
      </c>
      <c r="M26" s="154">
        <v>0.79065711643094672</v>
      </c>
      <c r="N26" s="154">
        <v>0.65261707444245087</v>
      </c>
      <c r="O26" s="169">
        <v>1.3392794094112839</v>
      </c>
      <c r="P26" s="169">
        <v>7.0755699999999998E-3</v>
      </c>
      <c r="Q26" s="169">
        <f>O26-P26</f>
        <v>1.3322038394112838</v>
      </c>
      <c r="R26" s="169">
        <v>1.8199205171390209</v>
      </c>
      <c r="S26" s="169">
        <v>3.4481820000000003E-2</v>
      </c>
      <c r="T26" s="169">
        <f>R26-S26</f>
        <v>1.7854386971390208</v>
      </c>
      <c r="U26" s="169">
        <v>2.2676236779105872</v>
      </c>
      <c r="V26" s="169">
        <v>0.18915514278830503</v>
      </c>
      <c r="W26" s="169">
        <f>U26-V26</f>
        <v>2.078468535122282</v>
      </c>
      <c r="X26" s="169">
        <v>2.6794642985671415</v>
      </c>
      <c r="Y26" s="169">
        <v>0.95292332664292989</v>
      </c>
      <c r="Z26" s="169">
        <f>X26-Y26</f>
        <v>1.7265409719242117</v>
      </c>
      <c r="AA26" s="169">
        <v>4.0358736598630927</v>
      </c>
      <c r="AB26" s="169">
        <v>1.8796098958520762</v>
      </c>
      <c r="AC26" s="169">
        <v>2.0091262802650687</v>
      </c>
      <c r="AD26" s="169">
        <v>5.4880225308045576</v>
      </c>
      <c r="AE26" s="169">
        <v>5.968987827000003</v>
      </c>
      <c r="AF26" s="155">
        <f>SUM(C26:F26)</f>
        <v>10.740964320321499</v>
      </c>
      <c r="AG26" s="132">
        <f>SUM(G26:J26)</f>
        <v>8.206136214685932</v>
      </c>
      <c r="AH26" s="132">
        <f>SUM(K26:N26)</f>
        <v>35.241577543560147</v>
      </c>
      <c r="AI26" s="132">
        <f t="shared" ref="AI26:AI30" si="22">SUM(O26,R26,U26,X26)</f>
        <v>8.1062879030280346</v>
      </c>
      <c r="AJ26" s="132">
        <f>SUM(P26,S26,V26,Y26)</f>
        <v>1.1836358594312348</v>
      </c>
      <c r="AK26" s="132">
        <f>AI26-AJ26</f>
        <v>6.9226520435968002</v>
      </c>
      <c r="AL26" s="132">
        <f>SUM(AA26:AD26)</f>
        <v>13.412632366784795</v>
      </c>
    </row>
    <row r="27" spans="2:38" s="82" customFormat="1" x14ac:dyDescent="0.25">
      <c r="B27" s="135" t="s">
        <v>82</v>
      </c>
      <c r="C27" s="154">
        <v>1.3432267533186164</v>
      </c>
      <c r="D27" s="154">
        <v>2.5672968989488387</v>
      </c>
      <c r="E27" s="154">
        <v>1.7233804885278323</v>
      </c>
      <c r="F27" s="154">
        <v>5.1070601795262105</v>
      </c>
      <c r="G27" s="154">
        <v>0.76175097645307688</v>
      </c>
      <c r="H27" s="154">
        <v>1.4223707848612517</v>
      </c>
      <c r="I27" s="154">
        <v>2.2723556627313224</v>
      </c>
      <c r="J27" s="154">
        <v>3.7496587906402805</v>
      </c>
      <c r="K27" s="154">
        <v>4.5847773510687775</v>
      </c>
      <c r="L27" s="154">
        <v>1.7380645379779669</v>
      </c>
      <c r="M27" s="154">
        <v>0.79065711643094672</v>
      </c>
      <c r="N27" s="154">
        <v>0.65261707444245087</v>
      </c>
      <c r="O27" s="169">
        <v>1.3392794094112839</v>
      </c>
      <c r="P27" s="169">
        <f>P26</f>
        <v>7.0755699999999998E-3</v>
      </c>
      <c r="Q27" s="169">
        <f>O27-P27</f>
        <v>1.3322038394112838</v>
      </c>
      <c r="R27" s="169">
        <v>1.8199205171390209</v>
      </c>
      <c r="S27" s="169">
        <f>S26</f>
        <v>3.4481820000000003E-2</v>
      </c>
      <c r="T27" s="169">
        <f>R27-S27</f>
        <v>1.7854386971390208</v>
      </c>
      <c r="U27" s="169">
        <v>2.2676236779105872</v>
      </c>
      <c r="V27" s="169">
        <f>V26</f>
        <v>0.18915514278830503</v>
      </c>
      <c r="W27" s="169">
        <f>U27-V27</f>
        <v>2.078468535122282</v>
      </c>
      <c r="X27" s="169">
        <v>2.6794642985671415</v>
      </c>
      <c r="Y27" s="169">
        <f>Y26</f>
        <v>0.95292332664292989</v>
      </c>
      <c r="Z27" s="169">
        <f>X27-Y27</f>
        <v>1.7265409719242117</v>
      </c>
      <c r="AA27" s="169">
        <v>4.0347236598630927</v>
      </c>
      <c r="AB27" s="169">
        <v>1.8796098958520762</v>
      </c>
      <c r="AC27" s="169">
        <v>2.0091262802650687</v>
      </c>
      <c r="AD27" s="169">
        <v>5.4880225308045576</v>
      </c>
      <c r="AE27" s="169">
        <v>3.4041620819903349</v>
      </c>
      <c r="AF27" s="155">
        <f>SUM(C27:F27)</f>
        <v>10.740964320321499</v>
      </c>
      <c r="AG27" s="132">
        <f>SUM(G27:J27)</f>
        <v>8.206136214685932</v>
      </c>
      <c r="AH27" s="132">
        <f>SUM(K27:N27)</f>
        <v>7.7661160799201419</v>
      </c>
      <c r="AI27" s="132">
        <f t="shared" si="22"/>
        <v>8.1062879030280346</v>
      </c>
      <c r="AJ27" s="132">
        <f>AJ26</f>
        <v>1.1836358594312348</v>
      </c>
      <c r="AK27" s="132">
        <f>AI27-AJ27</f>
        <v>6.9226520435968002</v>
      </c>
      <c r="AL27" s="132">
        <f>SUM(AA27:AD27)</f>
        <v>13.411482366784796</v>
      </c>
    </row>
    <row r="28" spans="2:38" s="82" customFormat="1" x14ac:dyDescent="0.25">
      <c r="B28" s="135" t="s">
        <v>101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>
        <v>3.7001872194295369</v>
      </c>
      <c r="AB28" s="169">
        <v>1.3020632054620793</v>
      </c>
      <c r="AC28" s="169">
        <v>1.5613910029886406</v>
      </c>
      <c r="AD28" s="169">
        <v>4.1238325698573544</v>
      </c>
      <c r="AE28" s="169">
        <v>4.7962442536586591</v>
      </c>
      <c r="AF28" s="155"/>
      <c r="AG28" s="132"/>
      <c r="AH28" s="132"/>
      <c r="AI28" s="132"/>
      <c r="AJ28" s="132"/>
      <c r="AK28" s="132"/>
      <c r="AL28" s="140">
        <f>SUM(AA28:AD28)</f>
        <v>10.687473997737612</v>
      </c>
    </row>
    <row r="29" spans="2:38" s="82" customFormat="1" ht="13.5" x14ac:dyDescent="0.25">
      <c r="B29" s="135" t="s">
        <v>156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>
        <v>3.6990372194295369</v>
      </c>
      <c r="AB29" s="169">
        <v>1.3020632054620793</v>
      </c>
      <c r="AC29" s="169">
        <v>1.5613910029886406</v>
      </c>
      <c r="AD29" s="169">
        <v>4.1238325698573544</v>
      </c>
      <c r="AE29" s="169">
        <v>2.2314185086489906</v>
      </c>
      <c r="AF29" s="155"/>
      <c r="AG29" s="132"/>
      <c r="AH29" s="132"/>
      <c r="AI29" s="132"/>
      <c r="AJ29" s="132"/>
      <c r="AK29" s="132"/>
      <c r="AL29" s="140">
        <f>SUM(AA29:AD29)</f>
        <v>10.686323997737611</v>
      </c>
    </row>
    <row r="30" spans="2:38" s="82" customFormat="1" ht="12.75" customHeight="1" x14ac:dyDescent="0.25">
      <c r="B30" s="135" t="s">
        <v>123</v>
      </c>
      <c r="C30" s="154">
        <v>1.0676905999999999</v>
      </c>
      <c r="D30" s="154">
        <v>1.1642690790000001</v>
      </c>
      <c r="E30" s="154">
        <v>1.2977599929999999</v>
      </c>
      <c r="F30" s="154">
        <v>1.3792764179999999</v>
      </c>
      <c r="G30" s="154">
        <v>1.5277354649999999</v>
      </c>
      <c r="H30" s="154">
        <v>1.538661917</v>
      </c>
      <c r="I30" s="154">
        <v>1.6606999389999999</v>
      </c>
      <c r="J30" s="154">
        <v>1.5810788410000001</v>
      </c>
      <c r="K30" s="154">
        <v>1.6492336839999999</v>
      </c>
      <c r="L30" s="154">
        <v>1.7617386209999999</v>
      </c>
      <c r="M30" s="154">
        <v>1.859120076</v>
      </c>
      <c r="N30" s="154">
        <v>1.9802661180000001</v>
      </c>
      <c r="O30" s="154">
        <v>2.242207418</v>
      </c>
      <c r="P30" s="154"/>
      <c r="Q30" s="154">
        <f t="shared" ref="Q30:Q35" si="23">O30</f>
        <v>2.242207418</v>
      </c>
      <c r="R30" s="154">
        <v>2.2536617699999999</v>
      </c>
      <c r="S30" s="154"/>
      <c r="T30" s="154">
        <f t="shared" ref="T30:T35" si="24">R30</f>
        <v>2.2536617699999999</v>
      </c>
      <c r="U30" s="154">
        <v>2.3498535020000002</v>
      </c>
      <c r="V30" s="154"/>
      <c r="W30" s="154">
        <f t="shared" ref="W30:W35" si="25">U30</f>
        <v>2.3498535020000002</v>
      </c>
      <c r="X30" s="154">
        <v>2.3482062410000002</v>
      </c>
      <c r="Y30" s="154"/>
      <c r="Z30" s="154">
        <f t="shared" ref="Z30:Z35" si="26">X30</f>
        <v>2.3482062410000002</v>
      </c>
      <c r="AA30" s="154">
        <v>2.657808079</v>
      </c>
      <c r="AB30" s="154">
        <v>2.936527125</v>
      </c>
      <c r="AC30" s="154">
        <v>2.8242132660000001</v>
      </c>
      <c r="AD30" s="154">
        <v>2.8674474139999999</v>
      </c>
      <c r="AE30" s="154">
        <v>2.9921420360000002</v>
      </c>
      <c r="AF30" s="155">
        <f>SUM(C30:F30)</f>
        <v>4.9089960899999996</v>
      </c>
      <c r="AG30" s="132">
        <f>SUM(G30:J30)</f>
        <v>6.3081761619999996</v>
      </c>
      <c r="AH30" s="132">
        <f>SUM(K30:N30)</f>
        <v>7.2503584989999998</v>
      </c>
      <c r="AI30" s="132">
        <f t="shared" si="22"/>
        <v>9.1939289310000003</v>
      </c>
      <c r="AJ30" s="132"/>
      <c r="AK30" s="132">
        <f t="shared" ref="AK30:AK33" si="27">AI30</f>
        <v>9.1939289310000003</v>
      </c>
      <c r="AL30" s="132">
        <f>SUM(AA30:AD30)</f>
        <v>11.285995884000002</v>
      </c>
    </row>
    <row r="31" spans="2:38" s="82" customFormat="1" x14ac:dyDescent="0.25">
      <c r="B31" s="135" t="s">
        <v>107</v>
      </c>
      <c r="C31" s="154">
        <f t="shared" ref="C31:O31" si="28">C14</f>
        <v>31.575209999999998</v>
      </c>
      <c r="D31" s="154">
        <f t="shared" si="28"/>
        <v>31.145432</v>
      </c>
      <c r="E31" s="154">
        <f t="shared" si="28"/>
        <v>28.960978000000001</v>
      </c>
      <c r="F31" s="154">
        <f t="shared" si="28"/>
        <v>30.376759</v>
      </c>
      <c r="G31" s="154">
        <f t="shared" si="28"/>
        <v>30.501653999999998</v>
      </c>
      <c r="H31" s="154">
        <f t="shared" si="28"/>
        <v>30.686364999999999</v>
      </c>
      <c r="I31" s="154">
        <f t="shared" si="28"/>
        <v>31.399246000000002</v>
      </c>
      <c r="J31" s="154">
        <f t="shared" si="28"/>
        <v>31.345283999999999</v>
      </c>
      <c r="K31" s="154">
        <f t="shared" si="28"/>
        <v>32.195967000000003</v>
      </c>
      <c r="L31" s="154">
        <f t="shared" si="28"/>
        <v>31.958010000000002</v>
      </c>
      <c r="M31" s="154">
        <f t="shared" si="28"/>
        <v>32.286487999999999</v>
      </c>
      <c r="N31" s="154">
        <f t="shared" si="28"/>
        <v>32.328217000000002</v>
      </c>
      <c r="O31" s="154">
        <f t="shared" si="28"/>
        <v>32.97081</v>
      </c>
      <c r="P31" s="154"/>
      <c r="Q31" s="154">
        <f t="shared" si="23"/>
        <v>32.97081</v>
      </c>
      <c r="R31" s="154">
        <f t="shared" ref="R31" si="29">R14</f>
        <v>32.942247000000002</v>
      </c>
      <c r="S31" s="154"/>
      <c r="T31" s="154">
        <f t="shared" si="24"/>
        <v>32.942247000000002</v>
      </c>
      <c r="U31" s="154">
        <f t="shared" ref="U31" si="30">U14</f>
        <v>33.065908999999998</v>
      </c>
      <c r="V31" s="154"/>
      <c r="W31" s="154">
        <f t="shared" si="25"/>
        <v>33.065908999999998</v>
      </c>
      <c r="X31" s="154">
        <f t="shared" ref="X31" si="31">X14</f>
        <v>33.636215999999997</v>
      </c>
      <c r="Y31" s="154"/>
      <c r="Z31" s="154">
        <f t="shared" si="26"/>
        <v>33.636215999999997</v>
      </c>
      <c r="AA31" s="154">
        <f t="shared" ref="AA31:AE31" si="32">AA14</f>
        <v>33.597498999999999</v>
      </c>
      <c r="AB31" s="154">
        <f t="shared" si="32"/>
        <v>32.105297</v>
      </c>
      <c r="AC31" s="154">
        <f t="shared" si="32"/>
        <v>32.805123000000002</v>
      </c>
      <c r="AD31" s="154">
        <f t="shared" si="32"/>
        <v>33.207357000000002</v>
      </c>
      <c r="AE31" s="154">
        <f t="shared" si="32"/>
        <v>34.260451000000003</v>
      </c>
      <c r="AF31" s="155">
        <f>F31</f>
        <v>30.376759</v>
      </c>
      <c r="AG31" s="154">
        <f>J31</f>
        <v>31.345283999999999</v>
      </c>
      <c r="AH31" s="154">
        <f>N31</f>
        <v>32.328217000000002</v>
      </c>
      <c r="AI31" s="154">
        <f>X31</f>
        <v>33.636215999999997</v>
      </c>
      <c r="AJ31" s="154"/>
      <c r="AK31" s="154">
        <f t="shared" si="27"/>
        <v>33.636215999999997</v>
      </c>
      <c r="AL31" s="154">
        <f>AD31</f>
        <v>33.207357000000002</v>
      </c>
    </row>
    <row r="32" spans="2:38" s="82" customFormat="1" x14ac:dyDescent="0.25">
      <c r="B32" s="135" t="s">
        <v>142</v>
      </c>
      <c r="C32" s="132">
        <v>124.89798724332535</v>
      </c>
      <c r="D32" s="132">
        <v>126.48326008918509</v>
      </c>
      <c r="E32" s="132">
        <v>132.7872550198889</v>
      </c>
      <c r="F32" s="132">
        <v>129.60243757504043</v>
      </c>
      <c r="G32" s="132">
        <v>127.79358825708329</v>
      </c>
      <c r="H32" s="132">
        <v>126.57834749206921</v>
      </c>
      <c r="I32" s="132">
        <v>121.34802359707254</v>
      </c>
      <c r="J32" s="132">
        <v>110.51000476588689</v>
      </c>
      <c r="K32" s="132">
        <v>108.84252314558091</v>
      </c>
      <c r="L32" s="132">
        <v>108.67074129065035</v>
      </c>
      <c r="M32" s="132">
        <v>110.43631113749227</v>
      </c>
      <c r="N32" s="132">
        <v>110.29977255693319</v>
      </c>
      <c r="O32" s="132">
        <v>111.63526209969406</v>
      </c>
      <c r="P32" s="132"/>
      <c r="Q32" s="132">
        <f t="shared" si="23"/>
        <v>111.63526209969406</v>
      </c>
      <c r="R32" s="132">
        <v>113.92526061515652</v>
      </c>
      <c r="S32" s="132"/>
      <c r="T32" s="132">
        <f t="shared" si="24"/>
        <v>113.92526061515652</v>
      </c>
      <c r="U32" s="132">
        <v>113.05458205296127</v>
      </c>
      <c r="V32" s="132"/>
      <c r="W32" s="132">
        <f t="shared" si="25"/>
        <v>113.05458205296127</v>
      </c>
      <c r="X32" s="132">
        <v>108.61713068361765</v>
      </c>
      <c r="Y32" s="132"/>
      <c r="Z32" s="132">
        <f t="shared" si="26"/>
        <v>108.61713068361765</v>
      </c>
      <c r="AA32" s="132">
        <v>113.02468303786775</v>
      </c>
      <c r="AB32" s="132">
        <v>110.17442737140136</v>
      </c>
      <c r="AC32" s="132">
        <v>116.13532422067213</v>
      </c>
      <c r="AD32" s="132">
        <v>112.38438747743861</v>
      </c>
      <c r="AE32" s="132">
        <v>110.74765841905916</v>
      </c>
      <c r="AF32" s="137" t="s">
        <v>110</v>
      </c>
      <c r="AG32" s="132" t="s">
        <v>110</v>
      </c>
      <c r="AH32" s="132" t="s">
        <v>110</v>
      </c>
      <c r="AI32" s="132" t="s">
        <v>110</v>
      </c>
      <c r="AJ32" s="132"/>
      <c r="AK32" s="132" t="str">
        <f t="shared" si="27"/>
        <v>n.a.</v>
      </c>
      <c r="AL32" s="132" t="s">
        <v>110</v>
      </c>
    </row>
    <row r="33" spans="2:38" s="82" customFormat="1" x14ac:dyDescent="0.25">
      <c r="B33" s="135" t="s">
        <v>135</v>
      </c>
      <c r="C33" s="132">
        <f t="shared" ref="C33:O35" si="33">C16</f>
        <v>311.4208719644256</v>
      </c>
      <c r="D33" s="132">
        <f t="shared" si="33"/>
        <v>315.70837220781146</v>
      </c>
      <c r="E33" s="132">
        <f t="shared" si="33"/>
        <v>321.870564425103</v>
      </c>
      <c r="F33" s="132">
        <f t="shared" si="33"/>
        <v>321.70094518250647</v>
      </c>
      <c r="G33" s="132">
        <f t="shared" si="33"/>
        <v>305.44949446995429</v>
      </c>
      <c r="H33" s="132">
        <f t="shared" si="33"/>
        <v>285.38690811744931</v>
      </c>
      <c r="I33" s="132">
        <f t="shared" si="33"/>
        <v>280.14074533491083</v>
      </c>
      <c r="J33" s="132">
        <f t="shared" si="33"/>
        <v>274.27423137411341</v>
      </c>
      <c r="K33" s="132">
        <f t="shared" si="33"/>
        <v>271.56999877953291</v>
      </c>
      <c r="L33" s="132">
        <f t="shared" si="33"/>
        <v>270.04826637824806</v>
      </c>
      <c r="M33" s="132">
        <f t="shared" si="33"/>
        <v>254.70986883701701</v>
      </c>
      <c r="N33" s="132">
        <f t="shared" si="33"/>
        <v>231.71269945884094</v>
      </c>
      <c r="O33" s="132">
        <f t="shared" si="33"/>
        <v>231.59515568473424</v>
      </c>
      <c r="P33" s="132"/>
      <c r="Q33" s="132">
        <f t="shared" si="23"/>
        <v>231.59515568473424</v>
      </c>
      <c r="R33" s="132">
        <f t="shared" ref="R33:R35" si="34">R16</f>
        <v>235.68157931915269</v>
      </c>
      <c r="S33" s="132"/>
      <c r="T33" s="132">
        <f t="shared" si="24"/>
        <v>235.68157931915269</v>
      </c>
      <c r="U33" s="132">
        <f t="shared" ref="U33:U35" si="35">U16</f>
        <v>232.23267534292782</v>
      </c>
      <c r="V33" s="132"/>
      <c r="W33" s="132">
        <f t="shared" si="25"/>
        <v>232.23267534292782</v>
      </c>
      <c r="X33" s="132">
        <f t="shared" ref="X33:X35" si="36">X16</f>
        <v>226.21927861958417</v>
      </c>
      <c r="Y33" s="132"/>
      <c r="Z33" s="132">
        <f t="shared" si="26"/>
        <v>226.21927861958417</v>
      </c>
      <c r="AA33" s="132">
        <f t="shared" ref="AA33:AI35" si="37">AA16</f>
        <v>228.46195997043051</v>
      </c>
      <c r="AB33" s="132">
        <f t="shared" si="37"/>
        <v>211.76477614783187</v>
      </c>
      <c r="AC33" s="132">
        <f t="shared" si="37"/>
        <v>231.2961182813689</v>
      </c>
      <c r="AD33" s="132">
        <f t="shared" si="37"/>
        <v>224.23452885100915</v>
      </c>
      <c r="AE33" s="132">
        <f t="shared" si="37"/>
        <v>222.65197564256619</v>
      </c>
      <c r="AF33" s="137" t="str">
        <f t="shared" si="37"/>
        <v>n.a.</v>
      </c>
      <c r="AG33" s="132" t="str">
        <f t="shared" si="37"/>
        <v>n.a.</v>
      </c>
      <c r="AH33" s="132" t="str">
        <f t="shared" si="37"/>
        <v>n.a.</v>
      </c>
      <c r="AI33" s="132" t="s">
        <v>110</v>
      </c>
      <c r="AJ33" s="132"/>
      <c r="AK33" s="132" t="str">
        <f t="shared" si="27"/>
        <v>n.a.</v>
      </c>
      <c r="AL33" s="132" t="str">
        <f t="shared" ref="AL33" si="38">AL16</f>
        <v>n.a.</v>
      </c>
    </row>
    <row r="34" spans="2:38" s="82" customFormat="1" x14ac:dyDescent="0.25">
      <c r="B34" s="135" t="s">
        <v>126</v>
      </c>
      <c r="C34" s="143">
        <f t="shared" si="33"/>
        <v>0</v>
      </c>
      <c r="D34" s="143">
        <f t="shared" si="33"/>
        <v>4.6600926055571944E-2</v>
      </c>
      <c r="E34" s="143">
        <f t="shared" si="33"/>
        <v>0.13883570820483207</v>
      </c>
      <c r="F34" s="143">
        <f t="shared" si="33"/>
        <v>4.61503949838869E-2</v>
      </c>
      <c r="G34" s="143">
        <f t="shared" si="33"/>
        <v>5.4688777777436477E-2</v>
      </c>
      <c r="H34" s="143">
        <f t="shared" si="33"/>
        <v>5.3846914050281643E-2</v>
      </c>
      <c r="I34" s="143">
        <f t="shared" si="33"/>
        <v>5.9214364500657007E-2</v>
      </c>
      <c r="J34" s="143">
        <f t="shared" si="33"/>
        <v>6.8937387848789375E-2</v>
      </c>
      <c r="K34" s="143">
        <f t="shared" si="33"/>
        <v>6.0229188751729175E-2</v>
      </c>
      <c r="L34" s="143">
        <f t="shared" si="33"/>
        <v>6.7060846438249652E-2</v>
      </c>
      <c r="M34" s="143">
        <f t="shared" si="33"/>
        <v>5.8720016770930326E-2</v>
      </c>
      <c r="N34" s="143">
        <f t="shared" si="33"/>
        <v>7.4650870881481229E-2</v>
      </c>
      <c r="O34" s="143">
        <f t="shared" si="33"/>
        <v>6.1906374194519012E-2</v>
      </c>
      <c r="P34" s="143"/>
      <c r="Q34" s="143">
        <f t="shared" si="23"/>
        <v>6.1906374194519012E-2</v>
      </c>
      <c r="R34" s="143">
        <f t="shared" si="34"/>
        <v>7.8531359879120757E-2</v>
      </c>
      <c r="S34" s="143"/>
      <c r="T34" s="143">
        <f t="shared" si="24"/>
        <v>7.8531359879120757E-2</v>
      </c>
      <c r="U34" s="143">
        <f t="shared" si="35"/>
        <v>7.7015785746234147E-2</v>
      </c>
      <c r="V34" s="143"/>
      <c r="W34" s="143">
        <f t="shared" si="25"/>
        <v>7.7015785746234147E-2</v>
      </c>
      <c r="X34" s="143">
        <f t="shared" si="36"/>
        <v>6.2523225459458751E-2</v>
      </c>
      <c r="Y34" s="143"/>
      <c r="Z34" s="143">
        <f t="shared" si="26"/>
        <v>6.2523225459458751E-2</v>
      </c>
      <c r="AA34" s="143">
        <f t="shared" si="37"/>
        <v>7.5386314738074486E-2</v>
      </c>
      <c r="AB34" s="143">
        <f t="shared" si="37"/>
        <v>6.6999431805002632E-2</v>
      </c>
      <c r="AC34" s="143">
        <f t="shared" si="37"/>
        <v>4.7836140946245609E-2</v>
      </c>
      <c r="AD34" s="143">
        <f t="shared" si="37"/>
        <v>7.8054361841882025E-2</v>
      </c>
      <c r="AE34" s="143">
        <f t="shared" si="37"/>
        <v>6.1781879737370454E-2</v>
      </c>
      <c r="AF34" s="144" t="str">
        <f t="shared" si="37"/>
        <v>n.a.</v>
      </c>
      <c r="AG34" s="143" t="str">
        <f t="shared" si="37"/>
        <v>n.a.</v>
      </c>
      <c r="AH34" s="143" t="str">
        <f t="shared" si="37"/>
        <v>n.a.</v>
      </c>
      <c r="AI34" s="143" t="str">
        <f t="shared" si="37"/>
        <v>n.a.</v>
      </c>
      <c r="AJ34" s="143"/>
      <c r="AK34" s="143" t="str">
        <f t="shared" ref="AK34:AL35" si="39">AK17</f>
        <v>n.a.</v>
      </c>
      <c r="AL34" s="143" t="str">
        <f t="shared" si="39"/>
        <v>n.a.</v>
      </c>
    </row>
    <row r="35" spans="2:38" s="82" customFormat="1" ht="12" thickBot="1" x14ac:dyDescent="0.3">
      <c r="B35" s="209" t="s">
        <v>127</v>
      </c>
      <c r="C35" s="282">
        <f t="shared" si="33"/>
        <v>157.47368514263323</v>
      </c>
      <c r="D35" s="282">
        <f t="shared" si="33"/>
        <v>167.35045010517982</v>
      </c>
      <c r="E35" s="282">
        <f t="shared" si="33"/>
        <v>253.64714955903437</v>
      </c>
      <c r="F35" s="282">
        <f t="shared" si="33"/>
        <v>391.16995548973529</v>
      </c>
      <c r="G35" s="282">
        <f t="shared" si="33"/>
        <v>304.23862730885816</v>
      </c>
      <c r="H35" s="282">
        <f t="shared" si="33"/>
        <v>363.56865053877249</v>
      </c>
      <c r="I35" s="282">
        <f t="shared" si="33"/>
        <v>523.49309230052347</v>
      </c>
      <c r="J35" s="282">
        <f t="shared" si="33"/>
        <v>579.82649267053887</v>
      </c>
      <c r="K35" s="282">
        <f t="shared" si="33"/>
        <v>600.3767648360398</v>
      </c>
      <c r="L35" s="282">
        <f t="shared" si="33"/>
        <v>683.54330855893966</v>
      </c>
      <c r="M35" s="282">
        <f t="shared" si="33"/>
        <v>734.10676025219163</v>
      </c>
      <c r="N35" s="282">
        <f t="shared" si="33"/>
        <v>1023.9975915200134</v>
      </c>
      <c r="O35" s="282">
        <f t="shared" si="33"/>
        <v>1267.3971831079227</v>
      </c>
      <c r="P35" s="282"/>
      <c r="Q35" s="282">
        <f t="shared" si="23"/>
        <v>1267.3971831079227</v>
      </c>
      <c r="R35" s="282">
        <f t="shared" si="34"/>
        <v>1404.3428038870932</v>
      </c>
      <c r="S35" s="282"/>
      <c r="T35" s="282">
        <f t="shared" si="24"/>
        <v>1404.3428038870932</v>
      </c>
      <c r="U35" s="282">
        <f t="shared" si="35"/>
        <v>1523.386024117872</v>
      </c>
      <c r="V35" s="282"/>
      <c r="W35" s="282">
        <f t="shared" si="25"/>
        <v>1523.386024117872</v>
      </c>
      <c r="X35" s="282">
        <f t="shared" si="36"/>
        <v>1559.5800327024647</v>
      </c>
      <c r="Y35" s="282"/>
      <c r="Z35" s="282">
        <f t="shared" si="26"/>
        <v>1559.5800327024647</v>
      </c>
      <c r="AA35" s="282">
        <f t="shared" si="37"/>
        <v>1936.0569087327394</v>
      </c>
      <c r="AB35" s="282">
        <f t="shared" si="37"/>
        <v>2506.0257672836078</v>
      </c>
      <c r="AC35" s="282">
        <f t="shared" si="37"/>
        <v>2326.4373169372889</v>
      </c>
      <c r="AD35" s="282">
        <f t="shared" si="37"/>
        <v>2421.509918339279</v>
      </c>
      <c r="AE35" s="282">
        <f t="shared" si="37"/>
        <v>2804.8544008240528</v>
      </c>
      <c r="AF35" s="230" t="str">
        <f t="shared" si="37"/>
        <v>n.a.</v>
      </c>
      <c r="AG35" s="213" t="str">
        <f t="shared" si="37"/>
        <v>n.a.</v>
      </c>
      <c r="AH35" s="213" t="str">
        <f t="shared" si="37"/>
        <v>n.a.</v>
      </c>
      <c r="AI35" s="213" t="str">
        <f t="shared" si="37"/>
        <v>n.a.</v>
      </c>
      <c r="AJ35" s="213"/>
      <c r="AK35" s="213" t="str">
        <f t="shared" si="39"/>
        <v>n.a.</v>
      </c>
      <c r="AL35" s="264" t="str">
        <f t="shared" si="39"/>
        <v>n.a.</v>
      </c>
    </row>
    <row r="36" spans="2:38" s="82" customFormat="1" ht="12" thickTop="1" x14ac:dyDescent="0.25">
      <c r="B36" s="14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271"/>
      <c r="AD36" s="271"/>
      <c r="AE36" s="271"/>
      <c r="AF36" s="240"/>
      <c r="AG36" s="143"/>
      <c r="AH36" s="143"/>
      <c r="AI36" s="143"/>
      <c r="AJ36" s="143"/>
      <c r="AK36" s="143"/>
      <c r="AL36" s="143"/>
    </row>
    <row r="37" spans="2:38" s="82" customFormat="1" ht="12" thickBot="1" x14ac:dyDescent="0.3">
      <c r="B37" s="187" t="s">
        <v>130</v>
      </c>
      <c r="C37" s="233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5"/>
      <c r="AG37" s="235"/>
      <c r="AH37" s="235"/>
      <c r="AI37" s="235"/>
      <c r="AJ37" s="235"/>
      <c r="AK37" s="235"/>
      <c r="AL37" s="235"/>
    </row>
    <row r="38" spans="2:38" s="82" customFormat="1" x14ac:dyDescent="0.25">
      <c r="B38" s="141" t="s">
        <v>131</v>
      </c>
      <c r="C38" s="160">
        <v>0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0.1231</v>
      </c>
      <c r="L38" s="160">
        <v>0.14849999999999999</v>
      </c>
      <c r="M38" s="160">
        <v>0.1646</v>
      </c>
      <c r="N38" s="160">
        <v>0.17269999999999999</v>
      </c>
      <c r="O38" s="160">
        <v>0.18258646519935801</v>
      </c>
      <c r="P38" s="157"/>
      <c r="Q38" s="157"/>
      <c r="R38" s="160">
        <v>0.2235</v>
      </c>
      <c r="S38" s="157"/>
      <c r="T38" s="157"/>
      <c r="U38" s="160">
        <v>0.2311</v>
      </c>
      <c r="V38" s="157"/>
      <c r="W38" s="157"/>
      <c r="X38" s="160">
        <v>0.29108311131867598</v>
      </c>
      <c r="Y38" s="157"/>
      <c r="Z38" s="157"/>
      <c r="AA38" s="160">
        <v>0.51689992497107495</v>
      </c>
      <c r="AB38" s="160">
        <v>0.52381023420237505</v>
      </c>
      <c r="AC38" s="160">
        <v>0.53269999999999995</v>
      </c>
      <c r="AD38" s="160">
        <v>0.59909999999999997</v>
      </c>
      <c r="AE38" s="160">
        <v>0.67293090020876001</v>
      </c>
      <c r="AF38" s="236" t="s">
        <v>110</v>
      </c>
      <c r="AG38" s="143" t="s">
        <v>110</v>
      </c>
      <c r="AH38" s="143" t="s">
        <v>110</v>
      </c>
      <c r="AI38" s="143" t="s">
        <v>110</v>
      </c>
      <c r="AJ38" s="143"/>
      <c r="AK38" s="143" t="s">
        <v>110</v>
      </c>
      <c r="AL38" s="342">
        <v>0.67293090020876001</v>
      </c>
    </row>
    <row r="39" spans="2:38" s="82" customFormat="1" ht="12" thickBot="1" x14ac:dyDescent="0.3">
      <c r="B39" s="237" t="s">
        <v>132</v>
      </c>
      <c r="C39" s="238">
        <v>0</v>
      </c>
      <c r="D39" s="238">
        <v>0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7.0600782934965814E-2</v>
      </c>
      <c r="P39" s="211"/>
      <c r="Q39" s="211"/>
      <c r="R39" s="238">
        <v>8.6309534379971103E-2</v>
      </c>
      <c r="S39" s="211"/>
      <c r="T39" s="211"/>
      <c r="U39" s="238">
        <v>0.10627120518598174</v>
      </c>
      <c r="V39" s="211"/>
      <c r="W39" s="211"/>
      <c r="X39" s="238">
        <v>0.11991975676306328</v>
      </c>
      <c r="Y39" s="211"/>
      <c r="Z39" s="211"/>
      <c r="AA39" s="238">
        <v>0.1685617134775419</v>
      </c>
      <c r="AB39" s="238">
        <v>0.19502834687995566</v>
      </c>
      <c r="AC39" s="238">
        <v>0.21466854430023019</v>
      </c>
      <c r="AD39" s="238">
        <v>0.24004734854387838</v>
      </c>
      <c r="AE39" s="238">
        <v>0.26184833352018627</v>
      </c>
      <c r="AF39" s="230" t="s">
        <v>110</v>
      </c>
      <c r="AG39" s="213" t="s">
        <v>110</v>
      </c>
      <c r="AH39" s="213" t="s">
        <v>110</v>
      </c>
      <c r="AI39" s="213" t="s">
        <v>110</v>
      </c>
      <c r="AJ39" s="213"/>
      <c r="AK39" s="213" t="s">
        <v>110</v>
      </c>
      <c r="AL39" s="343">
        <v>0.26184833352018627</v>
      </c>
    </row>
    <row r="40" spans="2:38" s="82" customFormat="1" ht="12" thickTop="1" x14ac:dyDescent="0.25">
      <c r="C40" s="239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40"/>
      <c r="AG40" s="240"/>
      <c r="AH40" s="240"/>
      <c r="AI40" s="240"/>
      <c r="AJ40" s="240"/>
      <c r="AK40" s="240"/>
      <c r="AL40" s="143"/>
    </row>
    <row r="41" spans="2:38" s="82" customFormat="1" ht="25" x14ac:dyDescent="0.25">
      <c r="B41" s="76" t="s">
        <v>157</v>
      </c>
      <c r="C41" s="23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43"/>
      <c r="AG41" s="143"/>
      <c r="AH41" s="143"/>
      <c r="AI41" s="143"/>
      <c r="AJ41" s="143"/>
      <c r="AK41" s="143"/>
      <c r="AL41" s="143"/>
    </row>
    <row r="42" spans="2:38" x14ac:dyDescent="0.25">
      <c r="B42" s="82" t="s">
        <v>133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8"/>
      <c r="AG42" s="28"/>
    </row>
    <row r="43" spans="2:38" x14ac:dyDescent="0.2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2:38" x14ac:dyDescent="0.25"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8"/>
      <c r="AG44" s="28"/>
    </row>
    <row r="45" spans="2:38" x14ac:dyDescent="0.2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28"/>
      <c r="AG45" s="28"/>
    </row>
    <row r="46" spans="2:38" x14ac:dyDescent="0.25"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8"/>
      <c r="AG46" s="28"/>
    </row>
    <row r="47" spans="2:38" x14ac:dyDescent="0.2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2:38" x14ac:dyDescent="0.25"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</row>
    <row r="49" spans="3:31" x14ac:dyDescent="0.25"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</row>
  </sheetData>
  <hyperlinks>
    <hyperlink ref="B2" location="Index!A1" display="index page" xr:uid="{99F7DD20-1B49-4B9D-8869-0A5105DD2257}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B3ED9-8BD2-43E4-8B49-7C390538F811}">
  <sheetPr>
    <pageSetUpPr fitToPage="1"/>
  </sheetPr>
  <dimension ref="A1:AM67"/>
  <sheetViews>
    <sheetView showGridLines="0" view="pageBreakPreview" zoomScale="85" zoomScaleNormal="90" zoomScaleSheetLayoutView="85" workbookViewId="0">
      <pane xSplit="2" ySplit="4" topLeftCell="C41" activePane="bottomRight" state="frozen"/>
      <selection activeCell="K31" sqref="K31"/>
      <selection pane="topRight" activeCell="K31" sqref="K31"/>
      <selection pane="bottomLeft" activeCell="K31" sqref="K31"/>
      <selection pane="bottomRight" activeCell="Z1" sqref="O1:Z1048576"/>
    </sheetView>
  </sheetViews>
  <sheetFormatPr defaultColWidth="9.1796875" defaultRowHeight="11.5" outlineLevelCol="1" x14ac:dyDescent="0.25"/>
  <cols>
    <col min="1" max="1" width="1.26953125" style="141" customWidth="1"/>
    <col min="2" max="2" width="55.7265625" style="141" customWidth="1"/>
    <col min="3" max="14" width="10.54296875" style="141" hidden="1" customWidth="1" outlineLevel="1"/>
    <col min="15" max="15" width="10.54296875" style="141" customWidth="1" collapsed="1"/>
    <col min="16" max="31" width="10.54296875" style="141" customWidth="1"/>
    <col min="32" max="33" width="10.54296875" style="141" hidden="1" customWidth="1" outlineLevel="1"/>
    <col min="34" max="34" width="9.1796875" style="141" hidden="1" customWidth="1" outlineLevel="1"/>
    <col min="35" max="35" width="9.1796875" style="141" customWidth="1" collapsed="1"/>
    <col min="36" max="37" width="9.1796875" style="141" customWidth="1"/>
    <col min="38" max="39" width="9.1796875" style="141"/>
    <col min="40" max="16384" width="9.1796875" style="346"/>
  </cols>
  <sheetData>
    <row r="1" spans="1:39" x14ac:dyDescent="0.25">
      <c r="B1" s="30" t="s">
        <v>27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</row>
    <row r="2" spans="1:39" x14ac:dyDescent="0.25">
      <c r="B2" s="34" t="s">
        <v>39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</row>
    <row r="3" spans="1:39" ht="12" thickBot="1" x14ac:dyDescent="0.3">
      <c r="B3" s="36" t="s">
        <v>40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9" s="347" customFormat="1" ht="12.5" thickTop="1" thickBot="1" x14ac:dyDescent="0.3">
      <c r="A4" s="82"/>
      <c r="B4" s="38" t="s">
        <v>99</v>
      </c>
      <c r="C4" s="43" t="s">
        <v>92</v>
      </c>
      <c r="D4" s="43" t="s">
        <v>93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180" t="s">
        <v>7</v>
      </c>
      <c r="AB4" s="180" t="s">
        <v>63</v>
      </c>
      <c r="AC4" s="180" t="s">
        <v>64</v>
      </c>
      <c r="AD4" s="180" t="s">
        <v>65</v>
      </c>
      <c r="AE4" s="180" t="s">
        <v>6</v>
      </c>
      <c r="AF4" s="134" t="s">
        <v>94</v>
      </c>
      <c r="AG4" s="43" t="s">
        <v>67</v>
      </c>
      <c r="AH4" s="43" t="s">
        <v>68</v>
      </c>
      <c r="AI4" s="43" t="s">
        <v>69</v>
      </c>
      <c r="AJ4" s="43" t="s">
        <v>55</v>
      </c>
      <c r="AK4" s="43" t="s">
        <v>70</v>
      </c>
      <c r="AL4" s="44" t="s">
        <v>71</v>
      </c>
      <c r="AM4" s="82"/>
    </row>
    <row r="5" spans="1:39" s="348" customFormat="1" x14ac:dyDescent="0.25">
      <c r="A5" s="30"/>
      <c r="B5" s="135" t="s">
        <v>72</v>
      </c>
      <c r="C5" s="132">
        <v>135.28168803</v>
      </c>
      <c r="D5" s="132">
        <v>146.08794244000001</v>
      </c>
      <c r="E5" s="132">
        <v>154.62304312999999</v>
      </c>
      <c r="F5" s="132">
        <v>149.90797985999998</v>
      </c>
      <c r="G5" s="132">
        <v>143.03547856</v>
      </c>
      <c r="H5" s="132">
        <v>153.40670046</v>
      </c>
      <c r="I5" s="132">
        <v>166.63297878000003</v>
      </c>
      <c r="J5" s="132">
        <v>159.4068738</v>
      </c>
      <c r="K5" s="132">
        <v>156.24924634000001</v>
      </c>
      <c r="L5" s="132">
        <v>172.71519679000002</v>
      </c>
      <c r="M5" s="132">
        <v>180.11678012000002</v>
      </c>
      <c r="N5" s="132">
        <v>179.21123337999998</v>
      </c>
      <c r="O5" s="132">
        <v>187.82927983999997</v>
      </c>
      <c r="P5" s="132"/>
      <c r="Q5" s="132">
        <f>O5</f>
        <v>187.82927983999997</v>
      </c>
      <c r="R5" s="132">
        <v>211.75360058999996</v>
      </c>
      <c r="S5" s="132"/>
      <c r="T5" s="138">
        <f>R5</f>
        <v>211.75360058999996</v>
      </c>
      <c r="U5" s="132">
        <v>230.79143609000005</v>
      </c>
      <c r="V5" s="132"/>
      <c r="W5" s="132">
        <f>U5</f>
        <v>230.79143609000005</v>
      </c>
      <c r="X5" s="132">
        <v>239.74920399999999</v>
      </c>
      <c r="Y5" s="132"/>
      <c r="Z5" s="132">
        <f>X5</f>
        <v>239.74920399999999</v>
      </c>
      <c r="AA5" s="132">
        <v>237.5471033</v>
      </c>
      <c r="AB5" s="132">
        <v>223.29516147999999</v>
      </c>
      <c r="AC5" s="132">
        <v>235.54632205000001</v>
      </c>
      <c r="AD5" s="132">
        <v>236.90689729999997</v>
      </c>
      <c r="AE5" s="132">
        <v>244.65007303999997</v>
      </c>
      <c r="AF5" s="137">
        <f>SUM(C5:F5)</f>
        <v>585.90065345999994</v>
      </c>
      <c r="AG5" s="132">
        <f>SUM(G5:J5)</f>
        <v>622.48203160000003</v>
      </c>
      <c r="AH5" s="138">
        <f>SUM(K5:N5)</f>
        <v>688.29245663000006</v>
      </c>
      <c r="AI5" s="138">
        <f>SUM(O5,R5,U5,X5)</f>
        <v>870.12352051999994</v>
      </c>
      <c r="AJ5" s="138"/>
      <c r="AK5" s="132">
        <f>AI5</f>
        <v>870.12352051999994</v>
      </c>
      <c r="AL5" s="140">
        <f>SUM(AA5:AD5)</f>
        <v>933.29548412999998</v>
      </c>
      <c r="AM5" s="284"/>
    </row>
    <row r="6" spans="1:39" s="348" customFormat="1" x14ac:dyDescent="0.25">
      <c r="A6" s="30"/>
      <c r="B6" s="135" t="s">
        <v>74</v>
      </c>
      <c r="C6" s="132">
        <v>71.013981989999991</v>
      </c>
      <c r="D6" s="132">
        <v>80.297168949999985</v>
      </c>
      <c r="E6" s="132">
        <v>85.623448899999985</v>
      </c>
      <c r="F6" s="132">
        <v>69.370563300000001</v>
      </c>
      <c r="G6" s="132">
        <v>76.61175351</v>
      </c>
      <c r="H6" s="132">
        <v>87.138693090000018</v>
      </c>
      <c r="I6" s="132">
        <v>90.723054110000021</v>
      </c>
      <c r="J6" s="132">
        <v>92.387299430000013</v>
      </c>
      <c r="K6" s="132">
        <v>88.539107219999977</v>
      </c>
      <c r="L6" s="132">
        <v>95.131079740000004</v>
      </c>
      <c r="M6" s="132">
        <v>103.63841822999998</v>
      </c>
      <c r="N6" s="132">
        <v>99.923596810000021</v>
      </c>
      <c r="O6" s="132">
        <v>118.14951445999996</v>
      </c>
      <c r="P6" s="132">
        <v>5.1306337080136517</v>
      </c>
      <c r="Q6" s="132">
        <f>O6-P6</f>
        <v>113.01888075198632</v>
      </c>
      <c r="R6" s="132">
        <v>137.67220546999997</v>
      </c>
      <c r="S6" s="132">
        <v>5.5697811757413795</v>
      </c>
      <c r="T6" s="132">
        <f>R6-S6</f>
        <v>132.10242429425858</v>
      </c>
      <c r="U6" s="132">
        <v>149.45391833999997</v>
      </c>
      <c r="V6" s="132">
        <v>6.0888776535828697</v>
      </c>
      <c r="W6" s="132">
        <f>U6-V6</f>
        <v>143.3650406864171</v>
      </c>
      <c r="X6" s="132">
        <v>166.53733458999997</v>
      </c>
      <c r="Y6" s="132">
        <v>6.8177177936879589</v>
      </c>
      <c r="Z6" s="132">
        <f>X6-Y6</f>
        <v>159.71961679631201</v>
      </c>
      <c r="AA6" s="132">
        <v>161.15202044</v>
      </c>
      <c r="AB6" s="132">
        <v>151.44270385999999</v>
      </c>
      <c r="AC6" s="132">
        <v>159.80620782</v>
      </c>
      <c r="AD6" s="132">
        <v>157.49262070999998</v>
      </c>
      <c r="AE6" s="132">
        <v>166.56680835000003</v>
      </c>
      <c r="AF6" s="137">
        <f>SUM(C6:F6)</f>
        <v>306.30516313999999</v>
      </c>
      <c r="AG6" s="132">
        <f>SUM(G6:J6)</f>
        <v>346.86080014000004</v>
      </c>
      <c r="AH6" s="132">
        <f>SUM(K6:N6)</f>
        <v>387.23220200000003</v>
      </c>
      <c r="AI6" s="132">
        <f>SUM(O6,R6,U6,X6)</f>
        <v>571.81297285999983</v>
      </c>
      <c r="AJ6" s="132">
        <f>SUM(P6,S6,V6,Y6)</f>
        <v>23.607010331025858</v>
      </c>
      <c r="AK6" s="132">
        <f>AI6-AJ6</f>
        <v>548.20596252897394</v>
      </c>
      <c r="AL6" s="140">
        <f>SUM(AA6:AD6)</f>
        <v>629.89355282999998</v>
      </c>
      <c r="AM6" s="284"/>
    </row>
    <row r="7" spans="1:39" s="348" customFormat="1" x14ac:dyDescent="0.25">
      <c r="A7" s="30"/>
      <c r="B7" s="135" t="s">
        <v>75</v>
      </c>
      <c r="C7" s="143">
        <f t="shared" ref="C7:O7" si="0">C6/C5</f>
        <v>0.52493418011055548</v>
      </c>
      <c r="D7" s="143">
        <f t="shared" si="0"/>
        <v>0.54964953033669395</v>
      </c>
      <c r="E7" s="143">
        <f t="shared" si="0"/>
        <v>0.55375607132509808</v>
      </c>
      <c r="F7" s="143">
        <f t="shared" si="0"/>
        <v>0.46275430677396634</v>
      </c>
      <c r="G7" s="143">
        <f t="shared" si="0"/>
        <v>0.53561364132370259</v>
      </c>
      <c r="H7" s="143">
        <f t="shared" si="0"/>
        <v>0.56802403564322135</v>
      </c>
      <c r="I7" s="143">
        <f t="shared" si="0"/>
        <v>0.544448372550422</v>
      </c>
      <c r="J7" s="143">
        <f t="shared" si="0"/>
        <v>0.57956910657387228</v>
      </c>
      <c r="K7" s="143">
        <f t="shared" si="0"/>
        <v>0.56665301941577328</v>
      </c>
      <c r="L7" s="143">
        <f t="shared" si="0"/>
        <v>0.55079739078007972</v>
      </c>
      <c r="M7" s="143">
        <f t="shared" si="0"/>
        <v>0.57539568584866163</v>
      </c>
      <c r="N7" s="143">
        <f t="shared" si="0"/>
        <v>0.55757440493767352</v>
      </c>
      <c r="O7" s="143">
        <f t="shared" si="0"/>
        <v>0.62902607389350662</v>
      </c>
      <c r="P7" s="143"/>
      <c r="Q7" s="143">
        <f>Q6/Q5</f>
        <v>0.60171066432379472</v>
      </c>
      <c r="R7" s="143">
        <f t="shared" ref="R7" si="1">R6/R5</f>
        <v>0.65015284314604249</v>
      </c>
      <c r="S7" s="143"/>
      <c r="T7" s="143">
        <f>T6/T5</f>
        <v>0.62384971932560895</v>
      </c>
      <c r="U7" s="143">
        <f t="shared" ref="U7" si="2">U6/U5</f>
        <v>0.64757133484675111</v>
      </c>
      <c r="V7" s="143"/>
      <c r="W7" s="143">
        <f>W6/W5</f>
        <v>0.62118873696210331</v>
      </c>
      <c r="X7" s="143">
        <f t="shared" ref="X7" si="3">X6/X5</f>
        <v>0.69463143906830227</v>
      </c>
      <c r="Y7" s="143"/>
      <c r="Z7" s="143">
        <f>Z6/Z5</f>
        <v>0.66619456553570877</v>
      </c>
      <c r="AA7" s="143">
        <f t="shared" ref="AA7:AE7" si="4">AA6/AA5</f>
        <v>0.67840027599275721</v>
      </c>
      <c r="AB7" s="143">
        <f t="shared" si="4"/>
        <v>0.67821757917295644</v>
      </c>
      <c r="AC7" s="143">
        <f t="shared" si="4"/>
        <v>0.67844917479151945</v>
      </c>
      <c r="AD7" s="143">
        <f t="shared" si="4"/>
        <v>0.66478697963176614</v>
      </c>
      <c r="AE7" s="143">
        <f t="shared" si="4"/>
        <v>0.68083694511207682</v>
      </c>
      <c r="AF7" s="144">
        <f>AF6/AF5</f>
        <v>0.52279368751533872</v>
      </c>
      <c r="AG7" s="143">
        <f>AG6/AG5</f>
        <v>0.55722218880510421</v>
      </c>
      <c r="AH7" s="143">
        <f>AH6/AH5</f>
        <v>0.56259835229919042</v>
      </c>
      <c r="AI7" s="143">
        <f>AI6/AI5</f>
        <v>0.65716298821375974</v>
      </c>
      <c r="AJ7" s="143"/>
      <c r="AK7" s="143">
        <f t="shared" ref="AK7" si="5">AK6/AK5</f>
        <v>0.63003234552418164</v>
      </c>
      <c r="AL7" s="145">
        <f>AL6/AL5</f>
        <v>0.67491331903011897</v>
      </c>
      <c r="AM7" s="30"/>
    </row>
    <row r="8" spans="1:39" s="348" customFormat="1" x14ac:dyDescent="0.25">
      <c r="A8" s="30"/>
      <c r="B8" s="135" t="s">
        <v>81</v>
      </c>
      <c r="C8" s="132">
        <v>10.061905450662431</v>
      </c>
      <c r="D8" s="132">
        <v>29.588775088821176</v>
      </c>
      <c r="E8" s="132">
        <v>33.616339766725829</v>
      </c>
      <c r="F8" s="132">
        <v>32.505949681689749</v>
      </c>
      <c r="G8" s="132">
        <v>28.901850039092182</v>
      </c>
      <c r="H8" s="132">
        <v>38.149242081604577</v>
      </c>
      <c r="I8" s="132">
        <v>26.863273830847518</v>
      </c>
      <c r="J8" s="132">
        <v>19.800751429225549</v>
      </c>
      <c r="K8" s="132">
        <v>91.03987277897545</v>
      </c>
      <c r="L8" s="132">
        <v>120.47702534960861</v>
      </c>
      <c r="M8" s="132">
        <v>28.152008156030142</v>
      </c>
      <c r="N8" s="132">
        <v>35.13114951442072</v>
      </c>
      <c r="O8" s="132">
        <v>36.191792028634161</v>
      </c>
      <c r="P8" s="132">
        <v>6.8483752420992419</v>
      </c>
      <c r="Q8" s="132">
        <f>O8-P8</f>
        <v>29.34341678653492</v>
      </c>
      <c r="R8" s="132">
        <v>43.705118906866417</v>
      </c>
      <c r="S8" s="132">
        <v>6.0471593086047912</v>
      </c>
      <c r="T8" s="132">
        <f>R8-S8</f>
        <v>37.657959598261627</v>
      </c>
      <c r="U8" s="132">
        <v>55.192565552050354</v>
      </c>
      <c r="V8" s="132">
        <v>7.054428496363446</v>
      </c>
      <c r="W8" s="132">
        <f>U8-V8</f>
        <v>48.138137055686911</v>
      </c>
      <c r="X8" s="132">
        <v>66.835265016294159</v>
      </c>
      <c r="Y8" s="132">
        <v>25.54659037303049</v>
      </c>
      <c r="Z8" s="132">
        <f>X8-Y8</f>
        <v>41.288674643263668</v>
      </c>
      <c r="AA8" s="132">
        <v>63.685659765179352</v>
      </c>
      <c r="AB8" s="132">
        <v>65.961944557723669</v>
      </c>
      <c r="AC8" s="132">
        <v>45.966478400407063</v>
      </c>
      <c r="AD8" s="132">
        <v>60.891776593478262</v>
      </c>
      <c r="AE8" s="132">
        <v>57.081623451408745</v>
      </c>
      <c r="AF8" s="137">
        <f>SUM(C8:F8)</f>
        <v>105.77296998789919</v>
      </c>
      <c r="AG8" s="132">
        <f>SUM(G8:J8)</f>
        <v>113.71511738076981</v>
      </c>
      <c r="AH8" s="132">
        <f>SUM(K8:N8)</f>
        <v>274.80005579903491</v>
      </c>
      <c r="AI8" s="132">
        <f>SUM(O8,R8,U8,X8)</f>
        <v>201.9247415038451</v>
      </c>
      <c r="AJ8" s="132">
        <f>SUM(P8,S8,V8,Y8)</f>
        <v>45.496553420097968</v>
      </c>
      <c r="AK8" s="132">
        <f>AI8-AJ8</f>
        <v>156.42818808374713</v>
      </c>
      <c r="AL8" s="140">
        <f>SUM(AA8:AD8)</f>
        <v>236.50585931678833</v>
      </c>
      <c r="AM8" s="284"/>
    </row>
    <row r="9" spans="1:39" s="348" customFormat="1" x14ac:dyDescent="0.25">
      <c r="A9" s="30"/>
      <c r="B9" s="135" t="s">
        <v>82</v>
      </c>
      <c r="C9" s="132">
        <v>9.4839059372374184</v>
      </c>
      <c r="D9" s="132">
        <v>28.891338427794757</v>
      </c>
      <c r="E9" s="132">
        <v>33.32994400948737</v>
      </c>
      <c r="F9" s="132">
        <v>32.092652251530453</v>
      </c>
      <c r="G9" s="132">
        <v>27.250643841350101</v>
      </c>
      <c r="H9" s="132">
        <v>26.639626738946795</v>
      </c>
      <c r="I9" s="132">
        <v>24.750684464664026</v>
      </c>
      <c r="J9" s="132">
        <v>19.734816505049654</v>
      </c>
      <c r="K9" s="132">
        <v>25.645611332562485</v>
      </c>
      <c r="L9" s="132">
        <v>35.394624461565222</v>
      </c>
      <c r="M9" s="132">
        <v>26.835835112724467</v>
      </c>
      <c r="N9" s="132">
        <v>26.82772416515369</v>
      </c>
      <c r="O9" s="132">
        <v>36.170418376902454</v>
      </c>
      <c r="P9" s="132">
        <f>P8</f>
        <v>6.8483752420992419</v>
      </c>
      <c r="Q9" s="132">
        <f>O9-P9</f>
        <v>29.322043134803213</v>
      </c>
      <c r="R9" s="132">
        <v>43.433318030780853</v>
      </c>
      <c r="S9" s="132">
        <f>S8</f>
        <v>6.0471593086047912</v>
      </c>
      <c r="T9" s="132">
        <f>R9-S9</f>
        <v>37.386158722176063</v>
      </c>
      <c r="U9" s="132">
        <v>54.578763163571537</v>
      </c>
      <c r="V9" s="132">
        <f>V8</f>
        <v>7.054428496363446</v>
      </c>
      <c r="W9" s="132">
        <f>U9-V9</f>
        <v>47.524334667208095</v>
      </c>
      <c r="X9" s="132">
        <v>66.81808617133315</v>
      </c>
      <c r="Y9" s="132">
        <f>Y8</f>
        <v>25.54659037303049</v>
      </c>
      <c r="Z9" s="132">
        <f>X9-Y9</f>
        <v>41.271495798302659</v>
      </c>
      <c r="AA9" s="132">
        <v>53.624405495762197</v>
      </c>
      <c r="AB9" s="132">
        <v>65.799591988182044</v>
      </c>
      <c r="AC9" s="132">
        <v>42.821391423218024</v>
      </c>
      <c r="AD9" s="132">
        <v>60.891776593478262</v>
      </c>
      <c r="AE9" s="132">
        <v>56.981531463367624</v>
      </c>
      <c r="AF9" s="137">
        <f>SUM(C9:F9)</f>
        <v>103.79784062604999</v>
      </c>
      <c r="AG9" s="132">
        <f>SUM(G9:J9)</f>
        <v>98.375771550010569</v>
      </c>
      <c r="AH9" s="132">
        <f>SUM(K9:N9)</f>
        <v>114.70379507200587</v>
      </c>
      <c r="AI9" s="132">
        <f>SUM(O9,R9,U9,X9)</f>
        <v>201.00058574258799</v>
      </c>
      <c r="AJ9" s="132">
        <f>AJ8</f>
        <v>45.496553420097968</v>
      </c>
      <c r="AK9" s="132">
        <f>AI9-AJ9</f>
        <v>155.50403232249002</v>
      </c>
      <c r="AL9" s="140">
        <f>SUM(AA9:AD9)</f>
        <v>223.13716550064052</v>
      </c>
      <c r="AM9" s="284"/>
    </row>
    <row r="10" spans="1:39" s="348" customFormat="1" x14ac:dyDescent="0.25">
      <c r="A10" s="30"/>
      <c r="B10" s="135" t="s">
        <v>101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>
        <v>47.909721435498881</v>
      </c>
      <c r="AB10" s="132">
        <v>58.2981127008755</v>
      </c>
      <c r="AC10" s="132">
        <v>41.97998527462088</v>
      </c>
      <c r="AD10" s="132">
        <v>44.308310184991534</v>
      </c>
      <c r="AE10" s="132">
        <v>38.679049732362046</v>
      </c>
      <c r="AF10" s="137"/>
      <c r="AG10" s="132"/>
      <c r="AH10" s="132"/>
      <c r="AI10" s="132"/>
      <c r="AJ10" s="132"/>
      <c r="AK10" s="132"/>
      <c r="AL10" s="140">
        <f>SUM(AA10:AD10)</f>
        <v>192.49612959598679</v>
      </c>
      <c r="AM10" s="284"/>
    </row>
    <row r="11" spans="1:39" s="348" customFormat="1" ht="13.5" x14ac:dyDescent="0.25">
      <c r="A11" s="30"/>
      <c r="B11" s="135" t="s">
        <v>156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>
        <v>37.848467166081726</v>
      </c>
      <c r="AB11" s="132">
        <v>58.135760131333868</v>
      </c>
      <c r="AC11" s="132">
        <v>38.834898297431849</v>
      </c>
      <c r="AD11" s="132">
        <v>44.308310184991534</v>
      </c>
      <c r="AE11" s="132">
        <v>38.578957744320931</v>
      </c>
      <c r="AF11" s="137"/>
      <c r="AG11" s="132"/>
      <c r="AH11" s="132"/>
      <c r="AI11" s="132"/>
      <c r="AJ11" s="132"/>
      <c r="AK11" s="132"/>
      <c r="AL11" s="140">
        <f>SUM(AA11:AD11)</f>
        <v>179.12743577983898</v>
      </c>
      <c r="AM11" s="284"/>
    </row>
    <row r="12" spans="1:39" s="348" customFormat="1" x14ac:dyDescent="0.25">
      <c r="A12" s="30"/>
      <c r="B12" s="135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5"/>
      <c r="AG12" s="154"/>
      <c r="AH12" s="154"/>
      <c r="AI12" s="154"/>
      <c r="AJ12" s="154"/>
      <c r="AK12" s="154"/>
      <c r="AL12" s="156"/>
      <c r="AM12" s="30"/>
    </row>
    <row r="13" spans="1:39" s="348" customFormat="1" ht="12" thickBot="1" x14ac:dyDescent="0.3">
      <c r="A13" s="30"/>
      <c r="B13" s="147" t="s">
        <v>102</v>
      </c>
      <c r="C13" s="148" t="s">
        <v>92</v>
      </c>
      <c r="D13" s="148" t="s">
        <v>93</v>
      </c>
      <c r="E13" s="148" t="s">
        <v>44</v>
      </c>
      <c r="F13" s="148" t="s">
        <v>45</v>
      </c>
      <c r="G13" s="148" t="s">
        <v>46</v>
      </c>
      <c r="H13" s="148" t="s">
        <v>47</v>
      </c>
      <c r="I13" s="148" t="s">
        <v>48</v>
      </c>
      <c r="J13" s="148" t="s">
        <v>49</v>
      </c>
      <c r="K13" s="148" t="s">
        <v>50</v>
      </c>
      <c r="L13" s="148" t="s">
        <v>51</v>
      </c>
      <c r="M13" s="148" t="s">
        <v>52</v>
      </c>
      <c r="N13" s="148" t="s">
        <v>53</v>
      </c>
      <c r="O13" s="148" t="s">
        <v>54</v>
      </c>
      <c r="P13" s="148" t="s">
        <v>55</v>
      </c>
      <c r="Q13" s="148" t="s">
        <v>54</v>
      </c>
      <c r="R13" s="148" t="s">
        <v>57</v>
      </c>
      <c r="S13" s="148" t="s">
        <v>55</v>
      </c>
      <c r="T13" s="148" t="s">
        <v>57</v>
      </c>
      <c r="U13" s="148" t="s">
        <v>59</v>
      </c>
      <c r="V13" s="148" t="s">
        <v>55</v>
      </c>
      <c r="W13" s="148" t="s">
        <v>59</v>
      </c>
      <c r="X13" s="148" t="s">
        <v>61</v>
      </c>
      <c r="Y13" s="148" t="s">
        <v>55</v>
      </c>
      <c r="Z13" s="148" t="s">
        <v>61</v>
      </c>
      <c r="AA13" s="149" t="s">
        <v>7</v>
      </c>
      <c r="AB13" s="149" t="s">
        <v>63</v>
      </c>
      <c r="AC13" s="149" t="s">
        <v>64</v>
      </c>
      <c r="AD13" s="149" t="s">
        <v>65</v>
      </c>
      <c r="AE13" s="149" t="s">
        <v>6</v>
      </c>
      <c r="AF13" s="150" t="s">
        <v>94</v>
      </c>
      <c r="AG13" s="148" t="s">
        <v>67</v>
      </c>
      <c r="AH13" s="148" t="s">
        <v>68</v>
      </c>
      <c r="AI13" s="148" t="s">
        <v>69</v>
      </c>
      <c r="AJ13" s="148" t="s">
        <v>103</v>
      </c>
      <c r="AK13" s="148" t="s">
        <v>69</v>
      </c>
      <c r="AL13" s="151" t="s">
        <v>71</v>
      </c>
      <c r="AM13" s="30"/>
    </row>
    <row r="14" spans="1:39" s="348" customFormat="1" x14ac:dyDescent="0.25">
      <c r="A14" s="30"/>
      <c r="B14" s="135" t="s">
        <v>143</v>
      </c>
      <c r="C14" s="132">
        <v>125.19787544</v>
      </c>
      <c r="D14" s="132">
        <v>135.72510040999995</v>
      </c>
      <c r="E14" s="132">
        <v>144.33222322</v>
      </c>
      <c r="F14" s="132">
        <v>139.46176628000001</v>
      </c>
      <c r="G14" s="132">
        <v>132.13827277999999</v>
      </c>
      <c r="H14" s="132">
        <v>142.93249598000003</v>
      </c>
      <c r="I14" s="132">
        <v>156.03444390000001</v>
      </c>
      <c r="J14" s="132">
        <v>148.82835716000002</v>
      </c>
      <c r="K14" s="132">
        <v>145.41834539000001</v>
      </c>
      <c r="L14" s="132">
        <v>161.35138488999999</v>
      </c>
      <c r="M14" s="132">
        <v>169.08000638999999</v>
      </c>
      <c r="N14" s="132">
        <v>168.08138880999999</v>
      </c>
      <c r="O14" s="132">
        <v>174.87312473999998</v>
      </c>
      <c r="P14" s="132"/>
      <c r="Q14" s="132">
        <f>O14</f>
        <v>174.87312473999998</v>
      </c>
      <c r="R14" s="132">
        <v>197.58901505</v>
      </c>
      <c r="S14" s="132"/>
      <c r="T14" s="132">
        <f>R14</f>
        <v>197.58901505</v>
      </c>
      <c r="U14" s="132">
        <v>216.46120074000001</v>
      </c>
      <c r="V14" s="132"/>
      <c r="W14" s="132">
        <f>U14</f>
        <v>216.46120074000001</v>
      </c>
      <c r="X14" s="132">
        <v>223.35683976999999</v>
      </c>
      <c r="Y14" s="132"/>
      <c r="Z14" s="132">
        <f>X14</f>
        <v>223.35683976999999</v>
      </c>
      <c r="AA14" s="132">
        <v>220.74692236000001</v>
      </c>
      <c r="AB14" s="132">
        <v>207.83577764999998</v>
      </c>
      <c r="AC14" s="132">
        <v>219.74100790999998</v>
      </c>
      <c r="AD14" s="132">
        <v>220.36621998000001</v>
      </c>
      <c r="AE14" s="132">
        <v>227.29860921999997</v>
      </c>
      <c r="AF14" s="137">
        <f>SUM(C14:F14)</f>
        <v>544.71696535000001</v>
      </c>
      <c r="AG14" s="132">
        <f>SUM(G14:J14)</f>
        <v>579.93356982</v>
      </c>
      <c r="AH14" s="132">
        <f>SUM(K14:N14)</f>
        <v>643.93112547999999</v>
      </c>
      <c r="AI14" s="132">
        <f>SUM(O14,R14,U14,X14)</f>
        <v>812.28018029999998</v>
      </c>
      <c r="AJ14" s="132"/>
      <c r="AK14" s="132">
        <f>AI14</f>
        <v>812.28018029999998</v>
      </c>
      <c r="AL14" s="140">
        <f>SUM(AA14:AD14)</f>
        <v>868.68992789999993</v>
      </c>
      <c r="AM14" s="284"/>
    </row>
    <row r="15" spans="1:39" s="348" customFormat="1" x14ac:dyDescent="0.25">
      <c r="A15" s="30"/>
      <c r="B15" s="159" t="s">
        <v>73</v>
      </c>
      <c r="C15" s="132">
        <v>124.81027788999999</v>
      </c>
      <c r="D15" s="132">
        <v>134.59282954</v>
      </c>
      <c r="E15" s="132">
        <v>143.98123663999999</v>
      </c>
      <c r="F15" s="132">
        <v>139.07400360000003</v>
      </c>
      <c r="G15" s="132">
        <v>131.54326937000002</v>
      </c>
      <c r="H15" s="132">
        <v>142.45054986000002</v>
      </c>
      <c r="I15" s="132">
        <v>155.35716264999999</v>
      </c>
      <c r="J15" s="132">
        <v>147.86780171000001</v>
      </c>
      <c r="K15" s="132">
        <v>144.72629888999998</v>
      </c>
      <c r="L15" s="132">
        <v>160.42221521000002</v>
      </c>
      <c r="M15" s="132">
        <v>168.27636219999999</v>
      </c>
      <c r="N15" s="132">
        <v>167.10983834999999</v>
      </c>
      <c r="O15" s="132">
        <v>174.56153676</v>
      </c>
      <c r="P15" s="132"/>
      <c r="Q15" s="132">
        <f t="shared" ref="Q15:Q20" si="6">O15</f>
        <v>174.56153676</v>
      </c>
      <c r="R15" s="132">
        <v>197.92710349999999</v>
      </c>
      <c r="S15" s="132"/>
      <c r="T15" s="132">
        <f t="shared" ref="T15:T20" si="7">R15</f>
        <v>197.92710349999999</v>
      </c>
      <c r="U15" s="132">
        <v>216.46120074000001</v>
      </c>
      <c r="V15" s="132"/>
      <c r="W15" s="132">
        <f t="shared" ref="W15:W20" si="8">U15</f>
        <v>216.46120074000001</v>
      </c>
      <c r="X15" s="132">
        <v>223.35683976999999</v>
      </c>
      <c r="Y15" s="132"/>
      <c r="Z15" s="132">
        <f t="shared" ref="Z15:Z20" si="9">X15</f>
        <v>223.35683976999999</v>
      </c>
      <c r="AA15" s="132">
        <v>220.74692236000001</v>
      </c>
      <c r="AB15" s="132">
        <v>207.83577764999998</v>
      </c>
      <c r="AC15" s="132">
        <v>219.74100790999998</v>
      </c>
      <c r="AD15" s="132">
        <v>220.36621998000001</v>
      </c>
      <c r="AE15" s="132">
        <v>227.29860921999997</v>
      </c>
      <c r="AF15" s="137">
        <f>SUM(C15:F15)</f>
        <v>542.45834766999997</v>
      </c>
      <c r="AG15" s="132">
        <f>SUM(G15:J15)</f>
        <v>577.21878359000004</v>
      </c>
      <c r="AH15" s="132">
        <f>SUM(K15:N15)</f>
        <v>640.53471464999996</v>
      </c>
      <c r="AI15" s="132">
        <f>SUM(O15,R15,U15,X15)</f>
        <v>812.30668076999996</v>
      </c>
      <c r="AJ15" s="132"/>
      <c r="AK15" s="132">
        <f t="shared" ref="AK15:AK17" si="10">AI15</f>
        <v>812.30668076999996</v>
      </c>
      <c r="AL15" s="140">
        <f>SUM(AA15:AD15)</f>
        <v>868.68992789999993</v>
      </c>
      <c r="AM15" s="284"/>
    </row>
    <row r="16" spans="1:39" s="348" customFormat="1" x14ac:dyDescent="0.25">
      <c r="A16" s="30"/>
      <c r="B16" s="285" t="s">
        <v>123</v>
      </c>
      <c r="C16" s="154">
        <v>19.348679480000001</v>
      </c>
      <c r="D16" s="154">
        <v>21.532037149999997</v>
      </c>
      <c r="E16" s="154">
        <v>25.944354630000003</v>
      </c>
      <c r="F16" s="154">
        <v>28.224514450000004</v>
      </c>
      <c r="G16" s="154">
        <v>31.237187810000002</v>
      </c>
      <c r="H16" s="154">
        <v>35.26207162</v>
      </c>
      <c r="I16" s="154">
        <v>43.36344785</v>
      </c>
      <c r="J16" s="154">
        <v>44.573665760000004</v>
      </c>
      <c r="K16" s="154">
        <v>49.213806859999998</v>
      </c>
      <c r="L16" s="154">
        <v>60.127345680000005</v>
      </c>
      <c r="M16" s="154">
        <v>74.706138559999999</v>
      </c>
      <c r="N16" s="154">
        <v>79.324725420000007</v>
      </c>
      <c r="O16" s="154">
        <v>89.960513609999978</v>
      </c>
      <c r="P16" s="154"/>
      <c r="Q16" s="154">
        <f t="shared" si="6"/>
        <v>89.960513609999978</v>
      </c>
      <c r="R16" s="154">
        <v>104.82465654000001</v>
      </c>
      <c r="S16" s="154"/>
      <c r="T16" s="154">
        <f t="shared" si="7"/>
        <v>104.82465654000001</v>
      </c>
      <c r="U16" s="154">
        <v>110.84682348999999</v>
      </c>
      <c r="V16" s="154"/>
      <c r="W16" s="154">
        <f t="shared" si="8"/>
        <v>110.84682348999999</v>
      </c>
      <c r="X16" s="154">
        <v>115.86351931999999</v>
      </c>
      <c r="Y16" s="154"/>
      <c r="Z16" s="154">
        <f t="shared" si="9"/>
        <v>115.86351931999999</v>
      </c>
      <c r="AA16" s="154">
        <v>119.70382049000001</v>
      </c>
      <c r="AB16" s="154">
        <v>117.02337194999998</v>
      </c>
      <c r="AC16" s="154">
        <v>124.72020464000001</v>
      </c>
      <c r="AD16" s="154">
        <v>127.20027392999999</v>
      </c>
      <c r="AE16" s="154">
        <v>137.20593403000001</v>
      </c>
      <c r="AF16" s="137">
        <f>SUM(C16:F16)</f>
        <v>95.049585710000002</v>
      </c>
      <c r="AG16" s="132">
        <f>SUM(G16:J16)</f>
        <v>154.43637304000001</v>
      </c>
      <c r="AH16" s="132">
        <f>SUM(K16:N16)</f>
        <v>263.37201651999999</v>
      </c>
      <c r="AI16" s="132">
        <f>SUM(O16,R16,U16,X16)</f>
        <v>421.49551296000004</v>
      </c>
      <c r="AJ16" s="132"/>
      <c r="AK16" s="132">
        <f t="shared" si="10"/>
        <v>421.49551296000004</v>
      </c>
      <c r="AL16" s="140">
        <f>SUM(AA16:AD16)</f>
        <v>488.64767101000001</v>
      </c>
      <c r="AM16" s="284"/>
    </row>
    <row r="17" spans="1:39" s="348" customFormat="1" x14ac:dyDescent="0.25">
      <c r="A17" s="30"/>
      <c r="B17" s="135" t="s">
        <v>107</v>
      </c>
      <c r="C17" s="154">
        <v>25.326093</v>
      </c>
      <c r="D17" s="154">
        <v>25.428473</v>
      </c>
      <c r="E17" s="154">
        <v>26.250554999999999</v>
      </c>
      <c r="F17" s="154">
        <v>26.079004999999999</v>
      </c>
      <c r="G17" s="154">
        <v>26.000247000000002</v>
      </c>
      <c r="H17" s="154">
        <v>26.132186999999998</v>
      </c>
      <c r="I17" s="154">
        <v>26.449183000000001</v>
      </c>
      <c r="J17" s="154">
        <v>26.522144999999998</v>
      </c>
      <c r="K17" s="154">
        <v>26.505067</v>
      </c>
      <c r="L17" s="154">
        <v>26.494409000000001</v>
      </c>
      <c r="M17" s="154">
        <v>26.586618000000001</v>
      </c>
      <c r="N17" s="154">
        <v>26.381812</v>
      </c>
      <c r="O17" s="154">
        <v>26.327262999999999</v>
      </c>
      <c r="P17" s="154"/>
      <c r="Q17" s="154">
        <f t="shared" si="6"/>
        <v>26.327262999999999</v>
      </c>
      <c r="R17" s="154">
        <v>26.200347000000001</v>
      </c>
      <c r="S17" s="154"/>
      <c r="T17" s="154">
        <f t="shared" si="7"/>
        <v>26.200347000000001</v>
      </c>
      <c r="U17" s="154">
        <v>26.383064999999998</v>
      </c>
      <c r="V17" s="154"/>
      <c r="W17" s="154">
        <f t="shared" si="8"/>
        <v>26.383064999999998</v>
      </c>
      <c r="X17" s="154">
        <v>26.212071999999999</v>
      </c>
      <c r="Y17" s="154"/>
      <c r="Z17" s="154">
        <f t="shared" si="9"/>
        <v>26.212071999999999</v>
      </c>
      <c r="AA17" s="154">
        <v>26.003896000000001</v>
      </c>
      <c r="AB17" s="154">
        <v>25.393052999999998</v>
      </c>
      <c r="AC17" s="154">
        <v>25.804680000000001</v>
      </c>
      <c r="AD17" s="154">
        <v>25.875719</v>
      </c>
      <c r="AE17" s="154">
        <v>25.738665999999998</v>
      </c>
      <c r="AF17" s="286">
        <f>F17</f>
        <v>26.079004999999999</v>
      </c>
      <c r="AG17" s="287">
        <f>J17</f>
        <v>26.522144999999998</v>
      </c>
      <c r="AH17" s="287">
        <f>N17</f>
        <v>26.381812</v>
      </c>
      <c r="AI17" s="287">
        <f>X17</f>
        <v>26.212071999999999</v>
      </c>
      <c r="AJ17" s="287"/>
      <c r="AK17" s="287">
        <f t="shared" si="10"/>
        <v>26.212071999999999</v>
      </c>
      <c r="AL17" s="288">
        <f>AD17</f>
        <v>25.875719</v>
      </c>
      <c r="AM17" s="30"/>
    </row>
    <row r="18" spans="1:39" s="348" customFormat="1" x14ac:dyDescent="0.25">
      <c r="A18" s="30"/>
      <c r="B18" s="135" t="s">
        <v>134</v>
      </c>
      <c r="C18" s="154">
        <v>1.6247309658414624</v>
      </c>
      <c r="D18" s="154">
        <v>1.734639038124504</v>
      </c>
      <c r="E18" s="154">
        <v>1.8216329863376428</v>
      </c>
      <c r="F18" s="154">
        <v>1.7439931569588329</v>
      </c>
      <c r="G18" s="154">
        <v>1.6602878427158159</v>
      </c>
      <c r="H18" s="154">
        <v>1.7968999417905562</v>
      </c>
      <c r="I18" s="154">
        <v>1.930925927313546</v>
      </c>
      <c r="J18" s="154">
        <v>1.827188880117687</v>
      </c>
      <c r="K18" s="154">
        <v>1.7865938333699309</v>
      </c>
      <c r="L18" s="154">
        <v>1.9910225214302117</v>
      </c>
      <c r="M18" s="154">
        <v>2.0910297279415233</v>
      </c>
      <c r="N18" s="154">
        <v>2.0823551891821857</v>
      </c>
      <c r="O18" s="154">
        <v>2.1931938113756186</v>
      </c>
      <c r="P18" s="154"/>
      <c r="Q18" s="154">
        <f t="shared" si="6"/>
        <v>2.1931938113756186</v>
      </c>
      <c r="R18" s="154">
        <v>2.4905981385154714</v>
      </c>
      <c r="S18" s="154"/>
      <c r="T18" s="154">
        <f t="shared" si="7"/>
        <v>2.4905981385154714</v>
      </c>
      <c r="U18" s="154">
        <v>2.7152918413383542</v>
      </c>
      <c r="V18" s="154"/>
      <c r="W18" s="154">
        <f t="shared" si="8"/>
        <v>2.7152918413383542</v>
      </c>
      <c r="X18" s="154">
        <v>2.8168926019402392</v>
      </c>
      <c r="Y18" s="154"/>
      <c r="Z18" s="154">
        <f t="shared" si="9"/>
        <v>2.8168926019402392</v>
      </c>
      <c r="AA18" s="154">
        <v>2.8052211382285717</v>
      </c>
      <c r="AB18" s="154">
        <v>2.6896435267652432</v>
      </c>
      <c r="AC18" s="154">
        <v>2.843285330361534</v>
      </c>
      <c r="AD18" s="154">
        <v>2.8240783943379899</v>
      </c>
      <c r="AE18" s="154">
        <v>2.9162887111154507</v>
      </c>
      <c r="AF18" s="155" t="s">
        <v>110</v>
      </c>
      <c r="AG18" s="154" t="s">
        <v>110</v>
      </c>
      <c r="AH18" s="154" t="s">
        <v>110</v>
      </c>
      <c r="AI18" s="154" t="s">
        <v>110</v>
      </c>
      <c r="AJ18" s="154"/>
      <c r="AK18" s="154" t="s">
        <v>110</v>
      </c>
      <c r="AL18" s="156" t="s">
        <v>110</v>
      </c>
      <c r="AM18" s="30"/>
    </row>
    <row r="19" spans="1:39" s="348" customFormat="1" x14ac:dyDescent="0.25">
      <c r="A19" s="30"/>
      <c r="B19" s="135" t="s">
        <v>125</v>
      </c>
      <c r="C19" s="132">
        <v>572.42800871031784</v>
      </c>
      <c r="D19" s="132">
        <v>558.69275580865781</v>
      </c>
      <c r="E19" s="132">
        <v>543.99291986332526</v>
      </c>
      <c r="F19" s="132">
        <v>564.89867015470588</v>
      </c>
      <c r="G19" s="132">
        <v>573.61029361459521</v>
      </c>
      <c r="H19" s="132">
        <v>572.76795390032419</v>
      </c>
      <c r="I19" s="132">
        <v>570.18802541035177</v>
      </c>
      <c r="J19" s="132">
        <v>589.31367131751801</v>
      </c>
      <c r="K19" s="132">
        <v>585.73422989070434</v>
      </c>
      <c r="L19" s="132">
        <v>579.54715102302771</v>
      </c>
      <c r="M19" s="132">
        <v>564.73202446842856</v>
      </c>
      <c r="N19" s="132">
        <v>583.59104225852604</v>
      </c>
      <c r="O19" s="132">
        <v>584.85150232892124</v>
      </c>
      <c r="P19" s="132"/>
      <c r="Q19" s="132">
        <f t="shared" si="6"/>
        <v>584.85150232892124</v>
      </c>
      <c r="R19" s="132">
        <v>571.08301649509235</v>
      </c>
      <c r="S19" s="132"/>
      <c r="T19" s="132">
        <f t="shared" si="7"/>
        <v>571.08301649509235</v>
      </c>
      <c r="U19" s="132">
        <v>566.29569607202791</v>
      </c>
      <c r="V19" s="132"/>
      <c r="W19" s="132">
        <f t="shared" si="8"/>
        <v>566.29569607202791</v>
      </c>
      <c r="X19" s="132">
        <v>577.41582009720798</v>
      </c>
      <c r="Y19" s="132"/>
      <c r="Z19" s="132">
        <f t="shared" si="9"/>
        <v>577.41582009720798</v>
      </c>
      <c r="AA19" s="132">
        <v>602.5518049561972</v>
      </c>
      <c r="AB19" s="132">
        <v>641.03692899656994</v>
      </c>
      <c r="AC19" s="132">
        <v>621.40599275653244</v>
      </c>
      <c r="AD19" s="132">
        <v>650.54047775005245</v>
      </c>
      <c r="AE19" s="132">
        <v>633.15996725796492</v>
      </c>
      <c r="AF19" s="289" t="s">
        <v>110</v>
      </c>
      <c r="AG19" s="290" t="s">
        <v>110</v>
      </c>
      <c r="AH19" s="290" t="s">
        <v>110</v>
      </c>
      <c r="AI19" s="290" t="s">
        <v>110</v>
      </c>
      <c r="AJ19" s="290"/>
      <c r="AK19" s="290" t="s">
        <v>110</v>
      </c>
      <c r="AL19" s="291" t="s">
        <v>110</v>
      </c>
      <c r="AM19" s="30"/>
    </row>
    <row r="20" spans="1:39" s="348" customFormat="1" x14ac:dyDescent="0.25">
      <c r="A20" s="30"/>
      <c r="B20" s="135" t="s">
        <v>126</v>
      </c>
      <c r="C20" s="143">
        <v>0</v>
      </c>
      <c r="D20" s="143">
        <v>4.4629048744107079E-2</v>
      </c>
      <c r="E20" s="143">
        <v>2.592831273838974E-2</v>
      </c>
      <c r="F20" s="143">
        <v>6.1728896631273032E-2</v>
      </c>
      <c r="G20" s="143">
        <v>5.2582667661970263E-2</v>
      </c>
      <c r="H20" s="143">
        <v>4.4280840599155602E-2</v>
      </c>
      <c r="I20" s="143">
        <v>4.4418812214288061E-2</v>
      </c>
      <c r="J20" s="143">
        <v>4.9923045161337089E-2</v>
      </c>
      <c r="K20" s="143">
        <v>4.8484502636118226E-2</v>
      </c>
      <c r="L20" s="143">
        <v>4.7762887316093468E-2</v>
      </c>
      <c r="M20" s="143">
        <v>5.1592558674495879E-2</v>
      </c>
      <c r="N20" s="143">
        <v>5.6072683294558667E-2</v>
      </c>
      <c r="O20" s="143">
        <v>4.4441265569543767E-2</v>
      </c>
      <c r="P20" s="143"/>
      <c r="Q20" s="143">
        <f t="shared" si="6"/>
        <v>4.4441265569543767E-2</v>
      </c>
      <c r="R20" s="143">
        <v>4.6717145516424599E-2</v>
      </c>
      <c r="S20" s="143"/>
      <c r="T20" s="143">
        <f t="shared" si="7"/>
        <v>4.6717145516424599E-2</v>
      </c>
      <c r="U20" s="143">
        <v>4.3245044654006096E-2</v>
      </c>
      <c r="V20" s="143"/>
      <c r="W20" s="143">
        <f t="shared" si="8"/>
        <v>4.3245044654006096E-2</v>
      </c>
      <c r="X20" s="143">
        <v>4.7160367697112376E-2</v>
      </c>
      <c r="Y20" s="143"/>
      <c r="Z20" s="143">
        <f t="shared" si="9"/>
        <v>4.7160367697112376E-2</v>
      </c>
      <c r="AA20" s="143">
        <v>4.2042924493901943E-2</v>
      </c>
      <c r="AB20" s="143">
        <v>5.447167690829275E-2</v>
      </c>
      <c r="AC20" s="143">
        <v>2.6066544782363702E-2</v>
      </c>
      <c r="AD20" s="143">
        <v>3.6423789994345826E-2</v>
      </c>
      <c r="AE20" s="143">
        <v>3.8957937791954701E-2</v>
      </c>
      <c r="AF20" s="144" t="s">
        <v>110</v>
      </c>
      <c r="AG20" s="143" t="s">
        <v>110</v>
      </c>
      <c r="AH20" s="143" t="s">
        <v>110</v>
      </c>
      <c r="AI20" s="143" t="s">
        <v>110</v>
      </c>
      <c r="AJ20" s="143"/>
      <c r="AK20" s="143" t="s">
        <v>110</v>
      </c>
      <c r="AL20" s="145" t="s">
        <v>110</v>
      </c>
      <c r="AM20" s="30"/>
    </row>
    <row r="21" spans="1:39" s="348" customFormat="1" x14ac:dyDescent="0.25">
      <c r="A21" s="30"/>
      <c r="B21" s="135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89"/>
      <c r="AG21" s="154"/>
      <c r="AH21" s="154"/>
      <c r="AI21" s="154"/>
      <c r="AJ21" s="154"/>
      <c r="AK21" s="154"/>
      <c r="AL21" s="156"/>
      <c r="AM21" s="30"/>
    </row>
    <row r="22" spans="1:39" s="348" customFormat="1" ht="12" thickBot="1" x14ac:dyDescent="0.3">
      <c r="A22" s="30"/>
      <c r="B22" s="147" t="s">
        <v>114</v>
      </c>
      <c r="C22" s="148" t="s">
        <v>92</v>
      </c>
      <c r="D22" s="148" t="s">
        <v>93</v>
      </c>
      <c r="E22" s="148" t="s">
        <v>44</v>
      </c>
      <c r="F22" s="148" t="s">
        <v>45</v>
      </c>
      <c r="G22" s="148" t="s">
        <v>46</v>
      </c>
      <c r="H22" s="148" t="s">
        <v>47</v>
      </c>
      <c r="I22" s="148" t="s">
        <v>48</v>
      </c>
      <c r="J22" s="148" t="s">
        <v>49</v>
      </c>
      <c r="K22" s="148" t="s">
        <v>50</v>
      </c>
      <c r="L22" s="148" t="s">
        <v>51</v>
      </c>
      <c r="M22" s="148" t="s">
        <v>52</v>
      </c>
      <c r="N22" s="148" t="s">
        <v>53</v>
      </c>
      <c r="O22" s="148" t="s">
        <v>54</v>
      </c>
      <c r="P22" s="148" t="s">
        <v>55</v>
      </c>
      <c r="Q22" s="148" t="s">
        <v>54</v>
      </c>
      <c r="R22" s="148" t="s">
        <v>57</v>
      </c>
      <c r="S22" s="148" t="s">
        <v>55</v>
      </c>
      <c r="T22" s="148" t="s">
        <v>57</v>
      </c>
      <c r="U22" s="148" t="s">
        <v>59</v>
      </c>
      <c r="V22" s="148" t="s">
        <v>55</v>
      </c>
      <c r="W22" s="148" t="s">
        <v>59</v>
      </c>
      <c r="X22" s="148" t="s">
        <v>61</v>
      </c>
      <c r="Y22" s="148" t="s">
        <v>55</v>
      </c>
      <c r="Z22" s="148" t="s">
        <v>61</v>
      </c>
      <c r="AA22" s="149" t="s">
        <v>7</v>
      </c>
      <c r="AB22" s="149" t="s">
        <v>63</v>
      </c>
      <c r="AC22" s="149" t="s">
        <v>64</v>
      </c>
      <c r="AD22" s="149" t="s">
        <v>65</v>
      </c>
      <c r="AE22" s="149" t="s">
        <v>6</v>
      </c>
      <c r="AF22" s="150" t="s">
        <v>94</v>
      </c>
      <c r="AG22" s="148" t="s">
        <v>67</v>
      </c>
      <c r="AH22" s="148" t="s">
        <v>68</v>
      </c>
      <c r="AI22" s="148" t="s">
        <v>69</v>
      </c>
      <c r="AJ22" s="148" t="s">
        <v>103</v>
      </c>
      <c r="AK22" s="148" t="s">
        <v>69</v>
      </c>
      <c r="AL22" s="151" t="s">
        <v>71</v>
      </c>
      <c r="AM22" s="30"/>
    </row>
    <row r="23" spans="1:39" s="348" customFormat="1" x14ac:dyDescent="0.25">
      <c r="A23" s="30"/>
      <c r="B23" s="135" t="s">
        <v>143</v>
      </c>
      <c r="C23" s="132">
        <v>10.083812589999999</v>
      </c>
      <c r="D23" s="132">
        <v>10.362842029999999</v>
      </c>
      <c r="E23" s="132">
        <v>10.29081991</v>
      </c>
      <c r="F23" s="132">
        <v>10.44621358</v>
      </c>
      <c r="G23" s="132">
        <v>10.897205780000002</v>
      </c>
      <c r="H23" s="132">
        <v>10.474204480000001</v>
      </c>
      <c r="I23" s="132">
        <v>10.598534880000001</v>
      </c>
      <c r="J23" s="132">
        <v>10.57851664</v>
      </c>
      <c r="K23" s="132">
        <v>10.830900950000002</v>
      </c>
      <c r="L23" s="132">
        <v>11.3638119</v>
      </c>
      <c r="M23" s="132">
        <v>11.03677373</v>
      </c>
      <c r="N23" s="132">
        <v>11.129844569999999</v>
      </c>
      <c r="O23" s="132">
        <v>12.058862939999999</v>
      </c>
      <c r="P23" s="132"/>
      <c r="Q23" s="132">
        <f>O23</f>
        <v>12.058862939999999</v>
      </c>
      <c r="R23" s="132">
        <v>12.53087341</v>
      </c>
      <c r="S23" s="132"/>
      <c r="T23" s="132">
        <f>R23</f>
        <v>12.53087341</v>
      </c>
      <c r="U23" s="132">
        <v>13.19082176</v>
      </c>
      <c r="V23" s="132"/>
      <c r="W23" s="132">
        <f>U23</f>
        <v>13.19082176</v>
      </c>
      <c r="X23" s="132">
        <v>14.630577859999997</v>
      </c>
      <c r="Y23" s="132"/>
      <c r="Z23" s="132">
        <f>X23</f>
        <v>14.630577859999997</v>
      </c>
      <c r="AA23" s="132">
        <v>15.364042120000001</v>
      </c>
      <c r="AB23" s="132">
        <v>14.43259024</v>
      </c>
      <c r="AC23" s="132">
        <v>14.459185139999995</v>
      </c>
      <c r="AD23" s="132">
        <v>15.213220810000003</v>
      </c>
      <c r="AE23" s="132">
        <v>16.112983889999999</v>
      </c>
      <c r="AF23" s="137">
        <f>SUM(C23:F23)</f>
        <v>41.183688109999999</v>
      </c>
      <c r="AG23" s="132">
        <f>SUM(G23:J23)</f>
        <v>42.548461780000011</v>
      </c>
      <c r="AH23" s="132">
        <f>SUM(K23:N23)</f>
        <v>44.361331149999998</v>
      </c>
      <c r="AI23" s="132">
        <f>SUM(O23,R23,U23,X23)</f>
        <v>52.411135969999997</v>
      </c>
      <c r="AJ23" s="132"/>
      <c r="AK23" s="132">
        <f>AI23</f>
        <v>52.411135969999997</v>
      </c>
      <c r="AL23" s="140">
        <f>SUM(AA23:AD23)</f>
        <v>59.469038309999995</v>
      </c>
      <c r="AM23" s="30"/>
    </row>
    <row r="24" spans="1:39" s="348" customFormat="1" x14ac:dyDescent="0.25">
      <c r="A24" s="30"/>
      <c r="B24" s="159" t="s">
        <v>73</v>
      </c>
      <c r="C24" s="132">
        <v>10.083812589999999</v>
      </c>
      <c r="D24" s="132">
        <v>10.362842029999999</v>
      </c>
      <c r="E24" s="132">
        <v>10.29081991</v>
      </c>
      <c r="F24" s="132">
        <v>10.44621358</v>
      </c>
      <c r="G24" s="132">
        <v>10.897205780000002</v>
      </c>
      <c r="H24" s="132">
        <v>10.474204480000001</v>
      </c>
      <c r="I24" s="132">
        <v>10.59853489</v>
      </c>
      <c r="J24" s="132">
        <v>10.57851657</v>
      </c>
      <c r="K24" s="132">
        <v>10.83048091</v>
      </c>
      <c r="L24" s="132">
        <v>11.363208550000001</v>
      </c>
      <c r="M24" s="132">
        <v>11.035786450000002</v>
      </c>
      <c r="N24" s="132">
        <v>11.127431739999999</v>
      </c>
      <c r="O24" s="132">
        <v>12.058144890000001</v>
      </c>
      <c r="P24" s="132"/>
      <c r="Q24" s="132">
        <f t="shared" ref="Q24:Q27" si="11">O24</f>
        <v>12.058144890000001</v>
      </c>
      <c r="R24" s="132">
        <v>12.531604659999999</v>
      </c>
      <c r="S24" s="132"/>
      <c r="T24" s="132">
        <f t="shared" ref="T24:T27" si="12">R24</f>
        <v>12.531604659999999</v>
      </c>
      <c r="U24" s="132">
        <v>13.19082176</v>
      </c>
      <c r="V24" s="132"/>
      <c r="W24" s="132">
        <f t="shared" ref="W24:W27" si="13">U24</f>
        <v>13.19082176</v>
      </c>
      <c r="X24" s="132">
        <v>14.630577859999997</v>
      </c>
      <c r="Y24" s="132"/>
      <c r="Z24" s="132">
        <f t="shared" ref="Z24:Z27" si="14">X24</f>
        <v>14.630577859999997</v>
      </c>
      <c r="AA24" s="132">
        <v>15.364042120000001</v>
      </c>
      <c r="AB24" s="132">
        <v>14.43259024</v>
      </c>
      <c r="AC24" s="132">
        <v>14.459185139999995</v>
      </c>
      <c r="AD24" s="132">
        <v>15.213220810000003</v>
      </c>
      <c r="AE24" s="132">
        <v>16.112983889999999</v>
      </c>
      <c r="AF24" s="137">
        <f>SUM(C24:F24)</f>
        <v>41.183688109999999</v>
      </c>
      <c r="AG24" s="132">
        <f>SUM(G24:J24)</f>
        <v>42.548461720000006</v>
      </c>
      <c r="AH24" s="132">
        <f>SUM(K24:N24)</f>
        <v>44.356907650000004</v>
      </c>
      <c r="AI24" s="132">
        <f>SUM(O24,R24,U24,X24)</f>
        <v>52.411149169999995</v>
      </c>
      <c r="AJ24" s="132"/>
      <c r="AK24" s="132">
        <f t="shared" ref="AK24:AK25" si="15">AI24</f>
        <v>52.411149169999995</v>
      </c>
      <c r="AL24" s="140">
        <f>SUM(AA24:AD24)</f>
        <v>59.469038309999995</v>
      </c>
      <c r="AM24" s="30"/>
    </row>
    <row r="25" spans="1:39" s="348" customFormat="1" x14ac:dyDescent="0.25">
      <c r="A25" s="30"/>
      <c r="B25" s="292" t="s">
        <v>115</v>
      </c>
      <c r="C25" s="132">
        <v>5.6006977538491807</v>
      </c>
      <c r="D25" s="132">
        <v>6.0395661801188503</v>
      </c>
      <c r="E25" s="132">
        <f>E51*E67</f>
        <v>5.9130616406088405</v>
      </c>
      <c r="F25" s="132">
        <v>5.9494712152492806</v>
      </c>
      <c r="G25" s="132">
        <v>6.3128440325758399</v>
      </c>
      <c r="H25" s="132">
        <v>6.4919661038955807</v>
      </c>
      <c r="I25" s="132">
        <v>6.4117038830117199</v>
      </c>
      <c r="J25" s="132">
        <v>6.3231514106852496</v>
      </c>
      <c r="K25" s="132">
        <v>6.8646471307305665</v>
      </c>
      <c r="L25" s="132">
        <v>7.0547188404027139</v>
      </c>
      <c r="M25" s="132">
        <v>6.5905192254347966</v>
      </c>
      <c r="N25" s="132">
        <v>6.836699641226236</v>
      </c>
      <c r="O25" s="132">
        <f>O51/O67</f>
        <v>7.6457066642255587</v>
      </c>
      <c r="P25" s="132"/>
      <c r="Q25" s="132">
        <f t="shared" si="11"/>
        <v>7.6457066642255587</v>
      </c>
      <c r="R25" s="132">
        <f>R51/R67</f>
        <v>8.1127491293789884</v>
      </c>
      <c r="S25" s="132"/>
      <c r="T25" s="132">
        <f t="shared" si="12"/>
        <v>8.1127491293789884</v>
      </c>
      <c r="U25" s="132">
        <f>U51/U67</f>
        <v>8.5340114325074321</v>
      </c>
      <c r="V25" s="132"/>
      <c r="W25" s="132">
        <f t="shared" si="13"/>
        <v>8.5340114325074321</v>
      </c>
      <c r="X25" s="132">
        <f>X51/X67</f>
        <v>9.2244747450598918</v>
      </c>
      <c r="Y25" s="132"/>
      <c r="Z25" s="132">
        <f t="shared" si="14"/>
        <v>9.2244747450598918</v>
      </c>
      <c r="AA25" s="132">
        <f>AA51/AA67</f>
        <v>9.9047046801716405</v>
      </c>
      <c r="AB25" s="132">
        <f>AB51/AB67</f>
        <v>9.5575057497315559</v>
      </c>
      <c r="AC25" s="132">
        <f>AC51/AC67</f>
        <v>9.3893623095986918</v>
      </c>
      <c r="AD25" s="132">
        <f>AD51/AD67</f>
        <v>9.5062787546389984</v>
      </c>
      <c r="AE25" s="132">
        <f>AE51/AE67</f>
        <v>10.395651140174619</v>
      </c>
      <c r="AF25" s="137">
        <f>SUM(C25:F25)</f>
        <v>23.502796789826149</v>
      </c>
      <c r="AG25" s="132">
        <f>SUM(G25:J25)</f>
        <v>25.539665430168391</v>
      </c>
      <c r="AH25" s="132">
        <f>SUM(K25:N25)</f>
        <v>27.346584837794314</v>
      </c>
      <c r="AI25" s="132">
        <f>SUM(O25,R25,U25,X25)</f>
        <v>33.516941971171875</v>
      </c>
      <c r="AJ25" s="132"/>
      <c r="AK25" s="132">
        <f t="shared" si="15"/>
        <v>33.516941971171875</v>
      </c>
      <c r="AL25" s="140">
        <f>SUM(AA25:AD25)</f>
        <v>38.357851494140888</v>
      </c>
      <c r="AM25" s="30"/>
    </row>
    <row r="26" spans="1:39" s="348" customFormat="1" x14ac:dyDescent="0.25">
      <c r="A26" s="30"/>
      <c r="B26" s="292" t="s">
        <v>116</v>
      </c>
      <c r="C26" s="154">
        <v>0.81482399999999999</v>
      </c>
      <c r="D26" s="154">
        <v>0.80828800000000001</v>
      </c>
      <c r="E26" s="154">
        <f>E52</f>
        <v>0.8</v>
      </c>
      <c r="F26" s="154">
        <v>0.81767900000000004</v>
      </c>
      <c r="G26" s="154">
        <v>0.81782200000000005</v>
      </c>
      <c r="H26" s="154">
        <v>0.80788800000000005</v>
      </c>
      <c r="I26" s="154">
        <v>0.80474699999999999</v>
      </c>
      <c r="J26" s="154">
        <v>0.82384000000000002</v>
      </c>
      <c r="K26" s="154">
        <v>0.83968699999999996</v>
      </c>
      <c r="L26" s="154">
        <v>0.858186</v>
      </c>
      <c r="M26" s="154">
        <v>0.88391200000000003</v>
      </c>
      <c r="N26" s="154">
        <v>0.91247199999999995</v>
      </c>
      <c r="O26" s="154">
        <f>O52</f>
        <v>0.93850299999999998</v>
      </c>
      <c r="P26" s="154"/>
      <c r="Q26" s="154">
        <f t="shared" si="11"/>
        <v>0.93850299999999998</v>
      </c>
      <c r="R26" s="154">
        <f>R52</f>
        <v>0.95662199999999997</v>
      </c>
      <c r="S26" s="154"/>
      <c r="T26" s="154">
        <f t="shared" si="12"/>
        <v>0.95662199999999997</v>
      </c>
      <c r="U26" s="154">
        <f>U52</f>
        <v>0.98147399999999996</v>
      </c>
      <c r="V26" s="154"/>
      <c r="W26" s="154">
        <f t="shared" si="13"/>
        <v>0.98147399999999996</v>
      </c>
      <c r="X26" s="154">
        <f>X52</f>
        <v>1.011209</v>
      </c>
      <c r="Y26" s="154"/>
      <c r="Z26" s="154">
        <f t="shared" si="14"/>
        <v>1.011209</v>
      </c>
      <c r="AA26" s="154">
        <f>AA52</f>
        <v>1.032281</v>
      </c>
      <c r="AB26" s="154">
        <f>AB52</f>
        <v>1.044028</v>
      </c>
      <c r="AC26" s="154">
        <f>AC52</f>
        <v>1.0798410000000001</v>
      </c>
      <c r="AD26" s="154">
        <f>AD52</f>
        <v>1.121216</v>
      </c>
      <c r="AE26" s="154">
        <f>AE52</f>
        <v>1.1510549999999999</v>
      </c>
      <c r="AF26" s="155">
        <f>F26</f>
        <v>0.81767900000000004</v>
      </c>
      <c r="AG26" s="154">
        <f>J26</f>
        <v>0.82384000000000002</v>
      </c>
      <c r="AH26" s="154">
        <f>N26</f>
        <v>0.91247199999999995</v>
      </c>
      <c r="AI26" s="154">
        <f>X26</f>
        <v>1.011209</v>
      </c>
      <c r="AJ26" s="154"/>
      <c r="AK26" s="154">
        <f>Q26</f>
        <v>0.93850299999999998</v>
      </c>
      <c r="AL26" s="156">
        <f>AD26</f>
        <v>1.121216</v>
      </c>
      <c r="AM26" s="30"/>
    </row>
    <row r="27" spans="1:39" s="348" customFormat="1" ht="12" thickBot="1" x14ac:dyDescent="0.3">
      <c r="A27" s="30"/>
      <c r="B27" s="293" t="s">
        <v>117</v>
      </c>
      <c r="C27" s="294">
        <v>2.2986034046074901</v>
      </c>
      <c r="D27" s="294">
        <v>2.4806528775664001</v>
      </c>
      <c r="E27" s="294">
        <f>E53*E67</f>
        <v>2.4510790938807148</v>
      </c>
      <c r="F27" s="294">
        <v>2.481677080881223</v>
      </c>
      <c r="G27" s="294">
        <v>2.5676821054059848</v>
      </c>
      <c r="H27" s="294">
        <v>2.6274491373065105</v>
      </c>
      <c r="I27" s="294">
        <v>2.6716859557215549</v>
      </c>
      <c r="J27" s="294">
        <v>2.5923498491428334</v>
      </c>
      <c r="K27" s="294">
        <f>K53/K67</f>
        <v>2.6524499415697349</v>
      </c>
      <c r="L27" s="294">
        <f>L53/L67</f>
        <v>2.7725405504992486</v>
      </c>
      <c r="M27" s="294">
        <f>M53/M67</f>
        <v>2.5997371603813999</v>
      </c>
      <c r="N27" s="294">
        <f>N53/N67</f>
        <v>2.522583930074116</v>
      </c>
      <c r="O27" s="294">
        <f>O53/O67</f>
        <v>2.7537583036779925</v>
      </c>
      <c r="P27" s="294"/>
      <c r="Q27" s="294">
        <f t="shared" si="11"/>
        <v>2.7537583036779925</v>
      </c>
      <c r="R27" s="294">
        <f>R53/R67</f>
        <v>2.8539011514206152</v>
      </c>
      <c r="S27" s="294"/>
      <c r="T27" s="294">
        <f t="shared" si="12"/>
        <v>2.8539011514206152</v>
      </c>
      <c r="U27" s="294">
        <f>U53/U67</f>
        <v>2.9355310340689806</v>
      </c>
      <c r="V27" s="294"/>
      <c r="W27" s="294">
        <f t="shared" si="13"/>
        <v>2.9355310340689806</v>
      </c>
      <c r="X27" s="294">
        <f>X53/X67</f>
        <v>3.0861154684613292</v>
      </c>
      <c r="Y27" s="294"/>
      <c r="Z27" s="294">
        <f t="shared" si="14"/>
        <v>3.0861154684613292</v>
      </c>
      <c r="AA27" s="294">
        <f>AA53/AA67</f>
        <v>3.231303531432872</v>
      </c>
      <c r="AB27" s="294">
        <f>AB53/AB67</f>
        <v>3.0687486784582818</v>
      </c>
      <c r="AC27" s="294">
        <f>AC53/AC67</f>
        <v>2.947250924169897</v>
      </c>
      <c r="AD27" s="294">
        <f>AD53/AD67</f>
        <v>2.8793071554981684</v>
      </c>
      <c r="AE27" s="294">
        <f>AE53/AE67</f>
        <v>3.0500033197843686</v>
      </c>
      <c r="AF27" s="295" t="s">
        <v>144</v>
      </c>
      <c r="AG27" s="294" t="s">
        <v>144</v>
      </c>
      <c r="AH27" s="294" t="s">
        <v>144</v>
      </c>
      <c r="AI27" s="294" t="s">
        <v>144</v>
      </c>
      <c r="AJ27" s="294"/>
      <c r="AK27" s="294" t="s">
        <v>144</v>
      </c>
      <c r="AL27" s="296" t="s">
        <v>144</v>
      </c>
      <c r="AM27" s="30"/>
    </row>
    <row r="28" spans="1:39" s="348" customFormat="1" ht="12" thickTop="1" x14ac:dyDescent="0.25">
      <c r="A28" s="30"/>
      <c r="B28" s="30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8"/>
      <c r="AB28" s="298"/>
      <c r="AC28" s="298"/>
      <c r="AD28" s="298"/>
      <c r="AE28" s="298"/>
      <c r="AF28" s="299"/>
      <c r="AG28" s="284"/>
      <c r="AH28" s="284"/>
      <c r="AI28" s="284"/>
      <c r="AJ28" s="284"/>
      <c r="AK28" s="284"/>
      <c r="AL28" s="284"/>
      <c r="AM28" s="30"/>
    </row>
    <row r="29" spans="1:39" ht="12" thickBot="1" x14ac:dyDescent="0.3">
      <c r="B29" s="36" t="s">
        <v>145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300"/>
      <c r="X29" s="139"/>
      <c r="Y29" s="139"/>
      <c r="Z29" s="139"/>
      <c r="AA29" s="139"/>
      <c r="AB29" s="139"/>
      <c r="AC29" s="139"/>
      <c r="AD29" s="139"/>
      <c r="AE29" s="139"/>
      <c r="AF29" s="301"/>
      <c r="AG29" s="139"/>
      <c r="AH29" s="139"/>
      <c r="AI29" s="139"/>
      <c r="AJ29" s="139"/>
      <c r="AK29" s="139"/>
      <c r="AL29" s="139"/>
    </row>
    <row r="30" spans="1:39" s="347" customFormat="1" ht="12.5" thickTop="1" thickBot="1" x14ac:dyDescent="0.3">
      <c r="A30" s="82"/>
      <c r="B30" s="38" t="s">
        <v>99</v>
      </c>
      <c r="C30" s="43" t="s">
        <v>92</v>
      </c>
      <c r="D30" s="43" t="s">
        <v>93</v>
      </c>
      <c r="E30" s="43" t="s">
        <v>44</v>
      </c>
      <c r="F30" s="43" t="s">
        <v>45</v>
      </c>
      <c r="G30" s="43" t="s">
        <v>46</v>
      </c>
      <c r="H30" s="43" t="s">
        <v>47</v>
      </c>
      <c r="I30" s="43" t="s">
        <v>48</v>
      </c>
      <c r="J30" s="43" t="s">
        <v>49</v>
      </c>
      <c r="K30" s="43" t="s">
        <v>50</v>
      </c>
      <c r="L30" s="43" t="s">
        <v>51</v>
      </c>
      <c r="M30" s="43" t="s">
        <v>52</v>
      </c>
      <c r="N30" s="43" t="s">
        <v>53</v>
      </c>
      <c r="O30" s="43" t="s">
        <v>54</v>
      </c>
      <c r="P30" s="43" t="s">
        <v>55</v>
      </c>
      <c r="Q30" s="43" t="s">
        <v>56</v>
      </c>
      <c r="R30" s="43" t="s">
        <v>57</v>
      </c>
      <c r="S30" s="43" t="s">
        <v>55</v>
      </c>
      <c r="T30" s="43" t="s">
        <v>58</v>
      </c>
      <c r="U30" s="43" t="s">
        <v>59</v>
      </c>
      <c r="V30" s="43" t="s">
        <v>55</v>
      </c>
      <c r="W30" s="43" t="s">
        <v>60</v>
      </c>
      <c r="X30" s="43" t="s">
        <v>61</v>
      </c>
      <c r="Y30" s="43" t="s">
        <v>55</v>
      </c>
      <c r="Z30" s="43" t="s">
        <v>62</v>
      </c>
      <c r="AA30" s="180" t="s">
        <v>7</v>
      </c>
      <c r="AB30" s="180" t="s">
        <v>63</v>
      </c>
      <c r="AC30" s="180" t="s">
        <v>64</v>
      </c>
      <c r="AD30" s="180" t="s">
        <v>65</v>
      </c>
      <c r="AE30" s="180" t="s">
        <v>6</v>
      </c>
      <c r="AF30" s="134" t="s">
        <v>94</v>
      </c>
      <c r="AG30" s="43" t="s">
        <v>67</v>
      </c>
      <c r="AH30" s="43" t="s">
        <v>68</v>
      </c>
      <c r="AI30" s="43" t="s">
        <v>69</v>
      </c>
      <c r="AJ30" s="43" t="s">
        <v>55</v>
      </c>
      <c r="AK30" s="43" t="s">
        <v>70</v>
      </c>
      <c r="AL30" s="44" t="s">
        <v>71</v>
      </c>
      <c r="AM30" s="82"/>
    </row>
    <row r="31" spans="1:39" x14ac:dyDescent="0.25">
      <c r="B31" s="135" t="s">
        <v>72</v>
      </c>
      <c r="C31" s="132">
        <v>3467.8103635399998</v>
      </c>
      <c r="D31" s="132">
        <v>3688.8251329999998</v>
      </c>
      <c r="E31" s="132">
        <v>3922.4107373099996</v>
      </c>
      <c r="F31" s="132">
        <v>3881.0578853199995</v>
      </c>
      <c r="G31" s="132">
        <v>3870.5707014899999</v>
      </c>
      <c r="H31" s="132">
        <v>4058.2658516199995</v>
      </c>
      <c r="I31" s="132">
        <v>4316.2366833300002</v>
      </c>
      <c r="J31" s="132">
        <v>4297.2935196000008</v>
      </c>
      <c r="K31" s="132">
        <v>4263.0940361199991</v>
      </c>
      <c r="L31" s="132">
        <v>4521.4964051100005</v>
      </c>
      <c r="M31" s="132">
        <v>4925.35642637</v>
      </c>
      <c r="N31" s="132">
        <v>5008.9021295100001</v>
      </c>
      <c r="O31" s="132">
        <v>5125.3854750399987</v>
      </c>
      <c r="P31" s="132"/>
      <c r="Q31" s="132">
        <f>O31</f>
        <v>5125.3854750399987</v>
      </c>
      <c r="R31" s="132">
        <v>5624.3420078400013</v>
      </c>
      <c r="S31" s="132"/>
      <c r="T31" s="132">
        <f>R31</f>
        <v>5624.3420078400013</v>
      </c>
      <c r="U31" s="132">
        <v>5827.5118686699998</v>
      </c>
      <c r="V31" s="132"/>
      <c r="W31" s="132">
        <f>U31</f>
        <v>5827.5118686699998</v>
      </c>
      <c r="X31" s="132">
        <v>5814.5652895999992</v>
      </c>
      <c r="Y31" s="132"/>
      <c r="Z31" s="132">
        <f>X31</f>
        <v>5814.5652895999992</v>
      </c>
      <c r="AA31" s="132">
        <v>5950.47884221</v>
      </c>
      <c r="AB31" s="132">
        <v>6009.16491873</v>
      </c>
      <c r="AC31" s="132">
        <v>6501.8235898699977</v>
      </c>
      <c r="AD31" s="132">
        <v>6696.7350854900005</v>
      </c>
      <c r="AE31" s="132">
        <v>6841.7260068199994</v>
      </c>
      <c r="AF31" s="137">
        <f>SUM(C31:F31)</f>
        <v>14960.104119169999</v>
      </c>
      <c r="AG31" s="132">
        <f>SUM(G31:J31)</f>
        <v>16542.366756039999</v>
      </c>
      <c r="AH31" s="132">
        <f>SUM(K31:N31)</f>
        <v>18718.848997109999</v>
      </c>
      <c r="AI31" s="132">
        <f>SUM(O31,R31,U31,X31)</f>
        <v>22391.80464115</v>
      </c>
      <c r="AJ31" s="132"/>
      <c r="AK31" s="132">
        <f>AI31</f>
        <v>22391.80464115</v>
      </c>
      <c r="AL31" s="140">
        <f>SUM(AA31:AD31)</f>
        <v>25158.202436299998</v>
      </c>
      <c r="AM31" s="284"/>
    </row>
    <row r="32" spans="1:39" x14ac:dyDescent="0.25">
      <c r="B32" s="135" t="s">
        <v>74</v>
      </c>
      <c r="C32" s="132">
        <v>1821.5087134</v>
      </c>
      <c r="D32" s="132">
        <v>2026.58547028</v>
      </c>
      <c r="E32" s="132">
        <v>2170.4817758999998</v>
      </c>
      <c r="F32" s="132">
        <v>1792.7273877099994</v>
      </c>
      <c r="G32" s="132">
        <v>2072.9814702699996</v>
      </c>
      <c r="H32" s="132">
        <v>2305.1926540399995</v>
      </c>
      <c r="I32" s="132">
        <v>2349.22689889</v>
      </c>
      <c r="J32" s="132">
        <v>2494.0966099300003</v>
      </c>
      <c r="K32" s="132">
        <v>2412.011655379999</v>
      </c>
      <c r="L32" s="132">
        <v>2490.4562129000005</v>
      </c>
      <c r="M32" s="132">
        <v>2833.2436628599999</v>
      </c>
      <c r="N32" s="132">
        <v>2793.3277829600001</v>
      </c>
      <c r="O32" s="132">
        <v>3223.4095441099998</v>
      </c>
      <c r="P32" s="132">
        <v>140.01720556999987</v>
      </c>
      <c r="Q32" s="132">
        <f>O32-P32</f>
        <v>3083.3923385399999</v>
      </c>
      <c r="R32" s="132">
        <v>3656.3116912900009</v>
      </c>
      <c r="S32" s="132">
        <v>147.93227905000001</v>
      </c>
      <c r="T32" s="132">
        <f>R32-S32</f>
        <v>3508.3794122400009</v>
      </c>
      <c r="U32" s="132">
        <v>3772.2233943200004</v>
      </c>
      <c r="V32" s="132">
        <v>153.720845</v>
      </c>
      <c r="W32" s="132">
        <f>U32-V32</f>
        <v>3618.5025493200005</v>
      </c>
      <c r="X32" s="132">
        <v>4030.7764171699991</v>
      </c>
      <c r="Y32" s="132">
        <v>165.21448763000001</v>
      </c>
      <c r="Z32" s="132">
        <f>X32-Y32</f>
        <v>3865.5619295399993</v>
      </c>
      <c r="AA32" s="132">
        <v>4040.44546309</v>
      </c>
      <c r="AB32" s="132">
        <v>4075.1787289600002</v>
      </c>
      <c r="AC32" s="132">
        <v>4411.4460710199983</v>
      </c>
      <c r="AD32" s="132">
        <v>4451.9628295400007</v>
      </c>
      <c r="AE32" s="132">
        <v>4657.8036270800003</v>
      </c>
      <c r="AF32" s="137">
        <f>SUM(C32:F32)</f>
        <v>7811.3033472899997</v>
      </c>
      <c r="AG32" s="132">
        <f>SUM(G32:J32)</f>
        <v>9221.4976331299986</v>
      </c>
      <c r="AH32" s="132">
        <f>SUM(K32:N32)</f>
        <v>10529.039314099999</v>
      </c>
      <c r="AI32" s="132">
        <f>SUM(O32,R32,U32,X32)</f>
        <v>14682.721046890001</v>
      </c>
      <c r="AJ32" s="132">
        <f>SUM(P32,S32,V32,Y32)</f>
        <v>606.88481724999997</v>
      </c>
      <c r="AK32" s="132">
        <f>AI32-AJ32</f>
        <v>14075.836229640001</v>
      </c>
      <c r="AL32" s="140">
        <f>SUM(AA32:AD32)</f>
        <v>16979.03309261</v>
      </c>
      <c r="AM32" s="284"/>
    </row>
    <row r="33" spans="1:39" x14ac:dyDescent="0.25">
      <c r="B33" s="135" t="s">
        <v>75</v>
      </c>
      <c r="C33" s="143">
        <f t="shared" ref="C33:O33" si="16">C32/C31</f>
        <v>0.52526191528552124</v>
      </c>
      <c r="D33" s="143">
        <f t="shared" si="16"/>
        <v>0.54938507443746587</v>
      </c>
      <c r="E33" s="143">
        <f t="shared" si="16"/>
        <v>0.55335402670973777</v>
      </c>
      <c r="F33" s="143">
        <f t="shared" si="16"/>
        <v>0.46191719904280332</v>
      </c>
      <c r="G33" s="143">
        <f t="shared" si="16"/>
        <v>0.53557514644338955</v>
      </c>
      <c r="H33" s="143">
        <f t="shared" si="16"/>
        <v>0.56802406208055611</v>
      </c>
      <c r="I33" s="143">
        <f t="shared" si="16"/>
        <v>0.54427666303914513</v>
      </c>
      <c r="J33" s="143">
        <f t="shared" si="16"/>
        <v>0.58038777164147615</v>
      </c>
      <c r="K33" s="143">
        <f t="shared" si="16"/>
        <v>0.56578898681185574</v>
      </c>
      <c r="L33" s="143">
        <f t="shared" si="16"/>
        <v>0.55080353709568231</v>
      </c>
      <c r="M33" s="143">
        <f t="shared" si="16"/>
        <v>0.57523627075819717</v>
      </c>
      <c r="N33" s="143">
        <f t="shared" si="16"/>
        <v>0.55767266174020047</v>
      </c>
      <c r="O33" s="143">
        <f t="shared" si="16"/>
        <v>0.62891065653649092</v>
      </c>
      <c r="P33" s="143"/>
      <c r="Q33" s="143">
        <f>Q32/Q31</f>
        <v>0.60159228092320938</v>
      </c>
      <c r="R33" s="143">
        <f t="shared" ref="R33" si="17">R32/R31</f>
        <v>0.65008701216841325</v>
      </c>
      <c r="S33" s="143"/>
      <c r="T33" s="143">
        <f>T32/T31</f>
        <v>0.62378486360707208</v>
      </c>
      <c r="U33" s="143">
        <f t="shared" ref="U33" si="18">U32/U31</f>
        <v>0.64731286341951744</v>
      </c>
      <c r="V33" s="143"/>
      <c r="W33" s="143">
        <f>W32/W31</f>
        <v>0.62093439376312132</v>
      </c>
      <c r="X33" s="143">
        <f t="shared" ref="X33" si="19">X32/X31</f>
        <v>0.69322059628077337</v>
      </c>
      <c r="Y33" s="143"/>
      <c r="Z33" s="143">
        <f>Z32/Z31</f>
        <v>0.66480669439794393</v>
      </c>
      <c r="AA33" s="143">
        <f t="shared" ref="AA33:AE33" si="20">AA32/AA31</f>
        <v>0.67901181908738351</v>
      </c>
      <c r="AB33" s="143">
        <f t="shared" si="20"/>
        <v>0.67816057373596994</v>
      </c>
      <c r="AC33" s="143">
        <f t="shared" si="20"/>
        <v>0.67849365797822325</v>
      </c>
      <c r="AD33" s="143">
        <f t="shared" si="20"/>
        <v>0.66479601965832436</v>
      </c>
      <c r="AE33" s="143">
        <f t="shared" si="20"/>
        <v>0.68079365096424327</v>
      </c>
      <c r="AF33" s="144">
        <f>AF32/AF31</f>
        <v>0.52214231164878944</v>
      </c>
      <c r="AG33" s="143">
        <f>AG32/AG31</f>
        <v>0.55744729693911654</v>
      </c>
      <c r="AH33" s="143">
        <f>AH32/AH31</f>
        <v>0.56248326570322649</v>
      </c>
      <c r="AI33" s="143">
        <f>AI32/AI31</f>
        <v>0.65571852211979309</v>
      </c>
      <c r="AJ33" s="143"/>
      <c r="AK33" s="143">
        <f t="shared" ref="AK33" si="21">AK32/AK31</f>
        <v>0.62861553390710068</v>
      </c>
      <c r="AL33" s="145">
        <f>AL32/AL31</f>
        <v>0.67489055053120461</v>
      </c>
    </row>
    <row r="34" spans="1:39" x14ac:dyDescent="0.25">
      <c r="B34" s="135" t="s">
        <v>81</v>
      </c>
      <c r="C34" s="132">
        <v>263.87186552999975</v>
      </c>
      <c r="D34" s="132">
        <v>744.57781200000022</v>
      </c>
      <c r="E34" s="132">
        <v>867.75078699999995</v>
      </c>
      <c r="F34" s="132">
        <v>846.67577600000004</v>
      </c>
      <c r="G34" s="132">
        <v>781.62684031999993</v>
      </c>
      <c r="H34" s="132">
        <v>1008.90285284</v>
      </c>
      <c r="I34" s="132">
        <v>697.15390966799998</v>
      </c>
      <c r="J34" s="132">
        <v>535.36340504999862</v>
      </c>
      <c r="K34" s="132">
        <v>2415.9146266699986</v>
      </c>
      <c r="L34" s="132">
        <v>3151.9226397650032</v>
      </c>
      <c r="M34" s="132">
        <v>772.13922531499884</v>
      </c>
      <c r="N34" s="132">
        <v>982.07328573999689</v>
      </c>
      <c r="O34" s="132">
        <v>983.31368037412994</v>
      </c>
      <c r="P34" s="132">
        <v>188.13941010000008</v>
      </c>
      <c r="Q34" s="132">
        <f>O34-P34</f>
        <v>795.17427027412987</v>
      </c>
      <c r="R34" s="132">
        <v>1158.86082097383</v>
      </c>
      <c r="S34" s="132">
        <v>160.41377703999999</v>
      </c>
      <c r="T34" s="132">
        <f>R34-S34</f>
        <v>998.44704393382995</v>
      </c>
      <c r="U34" s="132">
        <v>1385.3670072599964</v>
      </c>
      <c r="V34" s="132">
        <v>177.34488052999984</v>
      </c>
      <c r="W34" s="132">
        <f>U34-V34</f>
        <v>1208.0221267299967</v>
      </c>
      <c r="X34" s="132">
        <v>1606.4133634900024</v>
      </c>
      <c r="Y34" s="132">
        <v>612.48491872</v>
      </c>
      <c r="Z34" s="132">
        <f>X34-Y34</f>
        <v>993.92844477000244</v>
      </c>
      <c r="AA34" s="132">
        <v>1609.4677924799939</v>
      </c>
      <c r="AB34" s="132">
        <v>1770.7139519000004</v>
      </c>
      <c r="AC34" s="132">
        <v>1271.3209358100014</v>
      </c>
      <c r="AD34" s="132">
        <v>1718.1056602799924</v>
      </c>
      <c r="AE34" s="132">
        <v>1593.1335092599988</v>
      </c>
      <c r="AF34" s="137">
        <f>SUM(C34:F34)</f>
        <v>2722.8762405299999</v>
      </c>
      <c r="AG34" s="132">
        <f>SUM(G34:J34)</f>
        <v>3023.0470078779986</v>
      </c>
      <c r="AH34" s="132">
        <f>SUM(K34:N34)</f>
        <v>7322.0497774899977</v>
      </c>
      <c r="AI34" s="132">
        <f>SUM(O34,R34,U34,X34)</f>
        <v>5133.9548720979592</v>
      </c>
      <c r="AJ34" s="132">
        <f>SUM(P34,S34,V34,Y34)</f>
        <v>1138.38298639</v>
      </c>
      <c r="AK34" s="132">
        <f>AI34-AJ34</f>
        <v>3995.5718857079592</v>
      </c>
      <c r="AL34" s="140">
        <f>SUM(AA34:AD34)</f>
        <v>6369.6083404699884</v>
      </c>
      <c r="AM34" s="284"/>
    </row>
    <row r="35" spans="1:39" x14ac:dyDescent="0.25">
      <c r="B35" s="135" t="s">
        <v>82</v>
      </c>
      <c r="C35" s="132">
        <v>248.70038552999975</v>
      </c>
      <c r="D35" s="132">
        <v>726.75229200000024</v>
      </c>
      <c r="E35" s="132">
        <v>860.39390700000001</v>
      </c>
      <c r="F35" s="132">
        <v>835.95149600000002</v>
      </c>
      <c r="G35" s="132">
        <v>736.81396031999998</v>
      </c>
      <c r="H35" s="132">
        <v>704.78265784000018</v>
      </c>
      <c r="I35" s="132">
        <v>642.85420966799995</v>
      </c>
      <c r="J35" s="132">
        <v>533.60288504999869</v>
      </c>
      <c r="K35" s="132">
        <v>686.90786366999873</v>
      </c>
      <c r="L35" s="132">
        <v>926.87317976500356</v>
      </c>
      <c r="M35" s="132">
        <v>737.3883453149989</v>
      </c>
      <c r="N35" s="132">
        <v>749.21714167999698</v>
      </c>
      <c r="O35" s="132">
        <v>982.73300037412992</v>
      </c>
      <c r="P35" s="132">
        <f>P34</f>
        <v>188.13941010000008</v>
      </c>
      <c r="Q35" s="132">
        <f>O35-P35</f>
        <v>794.59359027412984</v>
      </c>
      <c r="R35" s="132">
        <v>1151.6753679738299</v>
      </c>
      <c r="S35" s="132">
        <f>S34</f>
        <v>160.41377703999999</v>
      </c>
      <c r="T35" s="132">
        <f>R35-S35</f>
        <v>991.26159093382989</v>
      </c>
      <c r="U35" s="132">
        <v>1370.1246072599963</v>
      </c>
      <c r="V35" s="132">
        <f>V34</f>
        <v>177.34488052999984</v>
      </c>
      <c r="W35" s="132">
        <f>U35-V35</f>
        <v>1192.7797267299966</v>
      </c>
      <c r="X35" s="132">
        <v>1605.9972034900024</v>
      </c>
      <c r="Y35" s="132">
        <f>Y34</f>
        <v>612.48491872</v>
      </c>
      <c r="Z35" s="132">
        <f>X35-Y35</f>
        <v>993.51228477000245</v>
      </c>
      <c r="AA35" s="132">
        <v>1347.3946237299938</v>
      </c>
      <c r="AB35" s="132">
        <v>1766.2939519000004</v>
      </c>
      <c r="AC35" s="132">
        <v>1185.3646545600013</v>
      </c>
      <c r="AD35" s="132">
        <v>1718.1056602799924</v>
      </c>
      <c r="AE35" s="132">
        <v>1590.3488692599988</v>
      </c>
      <c r="AF35" s="137">
        <f>SUM(C35:F35)</f>
        <v>2671.7980805299999</v>
      </c>
      <c r="AG35" s="132">
        <f>SUM(G35:J35)</f>
        <v>2618.0537128779988</v>
      </c>
      <c r="AH35" s="132">
        <f>SUM(K35:N35)</f>
        <v>3100.3865304299979</v>
      </c>
      <c r="AI35" s="132">
        <f>SUM(O35,R35,U35,X35)</f>
        <v>5110.5301790979593</v>
      </c>
      <c r="AJ35" s="132">
        <f>AJ34</f>
        <v>1138.38298639</v>
      </c>
      <c r="AK35" s="132">
        <f>AI35-AJ35</f>
        <v>3972.1471927079592</v>
      </c>
      <c r="AL35" s="140">
        <f>SUM(AA35:AD35)</f>
        <v>6017.1588904699884</v>
      </c>
      <c r="AM35" s="284"/>
    </row>
    <row r="36" spans="1:39" x14ac:dyDescent="0.25">
      <c r="B36" s="135" t="s">
        <v>101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>
        <v>1226.0621821699935</v>
      </c>
      <c r="AB36" s="132">
        <v>1565.4741120900003</v>
      </c>
      <c r="AC36" s="132">
        <v>1161.4641377600014</v>
      </c>
      <c r="AD36" s="132">
        <v>1250.5025226899922</v>
      </c>
      <c r="AE36" s="132">
        <v>1079.8320917799988</v>
      </c>
      <c r="AF36" s="137"/>
      <c r="AG36" s="132"/>
      <c r="AH36" s="132"/>
      <c r="AI36" s="132"/>
      <c r="AJ36" s="132"/>
      <c r="AK36" s="132"/>
      <c r="AL36" s="140">
        <f>SUM(AA36:AD36)</f>
        <v>5203.5029547099875</v>
      </c>
      <c r="AM36" s="284"/>
    </row>
    <row r="37" spans="1:39" ht="13.5" x14ac:dyDescent="0.25">
      <c r="B37" s="135" t="s">
        <v>156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>
        <v>963.98901341999363</v>
      </c>
      <c r="AB37" s="132">
        <v>1561.0541120900004</v>
      </c>
      <c r="AC37" s="132">
        <v>1075.5078565100014</v>
      </c>
      <c r="AD37" s="132">
        <v>1250.5025226899922</v>
      </c>
      <c r="AE37" s="132">
        <v>1077.0474517799987</v>
      </c>
      <c r="AF37" s="137"/>
      <c r="AG37" s="132"/>
      <c r="AH37" s="132"/>
      <c r="AI37" s="132"/>
      <c r="AJ37" s="132"/>
      <c r="AK37" s="132"/>
      <c r="AL37" s="140">
        <f>SUM(AA37:AD37)</f>
        <v>4851.0535047099875</v>
      </c>
      <c r="AM37" s="284"/>
    </row>
    <row r="38" spans="1:39" x14ac:dyDescent="0.25">
      <c r="B38" s="135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5"/>
      <c r="AG38" s="154"/>
      <c r="AH38" s="154"/>
      <c r="AI38" s="154"/>
      <c r="AJ38" s="154"/>
      <c r="AK38" s="154"/>
      <c r="AL38" s="156"/>
    </row>
    <row r="39" spans="1:39" s="347" customFormat="1" ht="12" thickBot="1" x14ac:dyDescent="0.3">
      <c r="A39" s="82"/>
      <c r="B39" s="147" t="s">
        <v>102</v>
      </c>
      <c r="C39" s="148" t="s">
        <v>92</v>
      </c>
      <c r="D39" s="148" t="s">
        <v>93</v>
      </c>
      <c r="E39" s="148" t="s">
        <v>44</v>
      </c>
      <c r="F39" s="148" t="s">
        <v>45</v>
      </c>
      <c r="G39" s="148" t="s">
        <v>46</v>
      </c>
      <c r="H39" s="148" t="s">
        <v>47</v>
      </c>
      <c r="I39" s="148" t="s">
        <v>48</v>
      </c>
      <c r="J39" s="148" t="s">
        <v>49</v>
      </c>
      <c r="K39" s="148" t="s">
        <v>50</v>
      </c>
      <c r="L39" s="148" t="s">
        <v>51</v>
      </c>
      <c r="M39" s="148" t="s">
        <v>52</v>
      </c>
      <c r="N39" s="148" t="s">
        <v>53</v>
      </c>
      <c r="O39" s="148" t="s">
        <v>54</v>
      </c>
      <c r="P39" s="148" t="s">
        <v>55</v>
      </c>
      <c r="Q39" s="148" t="s">
        <v>54</v>
      </c>
      <c r="R39" s="148" t="s">
        <v>57</v>
      </c>
      <c r="S39" s="148" t="s">
        <v>55</v>
      </c>
      <c r="T39" s="148" t="s">
        <v>57</v>
      </c>
      <c r="U39" s="148" t="s">
        <v>59</v>
      </c>
      <c r="V39" s="148" t="s">
        <v>55</v>
      </c>
      <c r="W39" s="148" t="s">
        <v>59</v>
      </c>
      <c r="X39" s="148" t="s">
        <v>61</v>
      </c>
      <c r="Y39" s="148" t="s">
        <v>55</v>
      </c>
      <c r="Z39" s="148" t="s">
        <v>61</v>
      </c>
      <c r="AA39" s="149" t="s">
        <v>7</v>
      </c>
      <c r="AB39" s="149" t="s">
        <v>63</v>
      </c>
      <c r="AC39" s="149" t="s">
        <v>64</v>
      </c>
      <c r="AD39" s="149" t="s">
        <v>65</v>
      </c>
      <c r="AE39" s="149" t="s">
        <v>6</v>
      </c>
      <c r="AF39" s="150" t="s">
        <v>94</v>
      </c>
      <c r="AG39" s="148" t="s">
        <v>67</v>
      </c>
      <c r="AH39" s="148" t="s">
        <v>68</v>
      </c>
      <c r="AI39" s="148" t="s">
        <v>69</v>
      </c>
      <c r="AJ39" s="148" t="s">
        <v>103</v>
      </c>
      <c r="AK39" s="148" t="s">
        <v>69</v>
      </c>
      <c r="AL39" s="151" t="s">
        <v>71</v>
      </c>
      <c r="AM39" s="82"/>
    </row>
    <row r="40" spans="1:39" x14ac:dyDescent="0.25">
      <c r="B40" s="135" t="s">
        <v>143</v>
      </c>
      <c r="C40" s="132">
        <v>3209.13286767</v>
      </c>
      <c r="D40" s="132">
        <v>3427.0467936899995</v>
      </c>
      <c r="E40" s="132">
        <v>3661.2576761599998</v>
      </c>
      <c r="F40" s="132">
        <v>3610.6255214400007</v>
      </c>
      <c r="G40" s="132">
        <v>3575.6528604299992</v>
      </c>
      <c r="H40" s="132">
        <v>3781.0975417699997</v>
      </c>
      <c r="I40" s="132">
        <v>4041.68952537</v>
      </c>
      <c r="J40" s="132">
        <v>4012.1246443300006</v>
      </c>
      <c r="K40" s="132">
        <v>3967.7889857699997</v>
      </c>
      <c r="L40" s="132">
        <v>4224.0097230300007</v>
      </c>
      <c r="M40" s="132">
        <v>4623.5176073800003</v>
      </c>
      <c r="N40" s="132">
        <v>4697.84593236</v>
      </c>
      <c r="O40" s="132">
        <v>4772.2436246499992</v>
      </c>
      <c r="P40" s="132"/>
      <c r="Q40" s="132">
        <f>O40</f>
        <v>4772.2436246499992</v>
      </c>
      <c r="R40" s="132">
        <v>5248.1300492099999</v>
      </c>
      <c r="S40" s="132"/>
      <c r="T40" s="132">
        <f>R40</f>
        <v>5248.1300492099999</v>
      </c>
      <c r="U40" s="132">
        <v>5465.80308909</v>
      </c>
      <c r="V40" s="132"/>
      <c r="W40" s="132">
        <f>U40</f>
        <v>5465.80308909</v>
      </c>
      <c r="X40" s="132">
        <v>5417.2314830599998</v>
      </c>
      <c r="Y40" s="132"/>
      <c r="Z40" s="132">
        <f>X40</f>
        <v>5417.2314830599998</v>
      </c>
      <c r="AA40" s="132">
        <v>5530.1122434900008</v>
      </c>
      <c r="AB40" s="132">
        <v>5593.0914875400003</v>
      </c>
      <c r="AC40" s="132">
        <v>6065.4874503899991</v>
      </c>
      <c r="AD40" s="132">
        <v>6229.1912360900005</v>
      </c>
      <c r="AE40" s="132">
        <v>6356.5468635199995</v>
      </c>
      <c r="AF40" s="137">
        <f>SUM(C40:F40)</f>
        <v>13908.06285896</v>
      </c>
      <c r="AG40" s="132">
        <f>SUM(G40:J40)</f>
        <v>15410.5645719</v>
      </c>
      <c r="AH40" s="132">
        <f>SUM(K40:N40)</f>
        <v>17513.16224854</v>
      </c>
      <c r="AI40" s="132">
        <f>SUM(O40,R40,U40,X40)</f>
        <v>20903.40824601</v>
      </c>
      <c r="AJ40" s="132"/>
      <c r="AK40" s="132">
        <f>AI40</f>
        <v>20903.40824601</v>
      </c>
      <c r="AL40" s="140">
        <f>SUM(AA40:AD40)</f>
        <v>23417.882417510002</v>
      </c>
      <c r="AM40" s="284"/>
    </row>
    <row r="41" spans="1:39" ht="15.75" customHeight="1" x14ac:dyDescent="0.25">
      <c r="B41" s="135" t="s">
        <v>73</v>
      </c>
      <c r="C41" s="132">
        <v>3199.1884543599999</v>
      </c>
      <c r="D41" s="132">
        <v>3398.5068015999996</v>
      </c>
      <c r="E41" s="132">
        <v>3652.3683912900001</v>
      </c>
      <c r="F41" s="132">
        <v>3600.5882106800004</v>
      </c>
      <c r="G41" s="132">
        <v>3559.5406776700002</v>
      </c>
      <c r="H41" s="132">
        <v>3768.3508210199993</v>
      </c>
      <c r="I41" s="132">
        <v>4024.1332458400002</v>
      </c>
      <c r="J41" s="132">
        <v>3986.0734740799999</v>
      </c>
      <c r="K41" s="132">
        <v>3948.8155348399991</v>
      </c>
      <c r="L41" s="132">
        <v>4199.6883205800004</v>
      </c>
      <c r="M41" s="132">
        <v>4601.5325954</v>
      </c>
      <c r="N41" s="132">
        <v>4670.7082114599998</v>
      </c>
      <c r="O41" s="132">
        <v>4763.3124180699997</v>
      </c>
      <c r="P41" s="132"/>
      <c r="Q41" s="132">
        <f>O41</f>
        <v>4763.3124180699997</v>
      </c>
      <c r="R41" s="132">
        <v>5257.0612557900004</v>
      </c>
      <c r="S41" s="132"/>
      <c r="T41" s="132">
        <f>R41</f>
        <v>5257.0612557900004</v>
      </c>
      <c r="U41" s="132">
        <v>5465.80308909</v>
      </c>
      <c r="V41" s="132"/>
      <c r="W41" s="132">
        <f>U41</f>
        <v>5465.80308909</v>
      </c>
      <c r="X41" s="132">
        <v>5417.2314830599998</v>
      </c>
      <c r="Y41" s="132"/>
      <c r="Z41" s="132">
        <f>X41</f>
        <v>5417.2314830599998</v>
      </c>
      <c r="AA41" s="132">
        <v>5530.1122434900008</v>
      </c>
      <c r="AB41" s="132">
        <v>5593.0914875400003</v>
      </c>
      <c r="AC41" s="132">
        <v>6065.4874503899991</v>
      </c>
      <c r="AD41" s="132">
        <v>6229.1912360900005</v>
      </c>
      <c r="AE41" s="132">
        <v>6356.5468635199995</v>
      </c>
      <c r="AF41" s="137">
        <f>SUM(C41:F41)</f>
        <v>13850.651857929999</v>
      </c>
      <c r="AG41" s="132">
        <f>SUM(G41:J41)</f>
        <v>15338.098218610001</v>
      </c>
      <c r="AH41" s="132">
        <f>SUM(K41:N41)</f>
        <v>17420.744662279998</v>
      </c>
      <c r="AI41" s="132">
        <f>SUM(O41,R41,U41,X41)</f>
        <v>20903.40824601</v>
      </c>
      <c r="AJ41" s="132"/>
      <c r="AK41" s="132">
        <f t="shared" ref="AK41:AK43" si="22">AI41</f>
        <v>20903.40824601</v>
      </c>
      <c r="AL41" s="140">
        <f>SUM(AA41:AD41)</f>
        <v>23417.882417510002</v>
      </c>
      <c r="AM41" s="284"/>
    </row>
    <row r="42" spans="1:39" x14ac:dyDescent="0.25">
      <c r="B42" s="285" t="s">
        <v>123</v>
      </c>
      <c r="C42" s="132">
        <v>496.07</v>
      </c>
      <c r="D42" s="132">
        <v>543.55977933999998</v>
      </c>
      <c r="E42" s="132">
        <v>659.11314588999994</v>
      </c>
      <c r="F42" s="132">
        <v>730.61376504999998</v>
      </c>
      <c r="G42" s="132">
        <v>845.17387684000005</v>
      </c>
      <c r="H42" s="132">
        <v>932.80087151999999</v>
      </c>
      <c r="I42" s="132">
        <v>1123.1094341500002</v>
      </c>
      <c r="J42" s="132">
        <v>1201.71192034</v>
      </c>
      <c r="K42" s="132">
        <v>1340.8603040099999</v>
      </c>
      <c r="L42" s="132">
        <v>1574.1435632600001</v>
      </c>
      <c r="M42" s="132">
        <v>2044.7660525399999</v>
      </c>
      <c r="N42" s="132">
        <v>2217.1014007399999</v>
      </c>
      <c r="O42" s="132">
        <v>2453.65157611</v>
      </c>
      <c r="P42" s="132"/>
      <c r="Q42" s="132">
        <f t="shared" ref="Q42:Q46" si="23">O42</f>
        <v>2453.65157611</v>
      </c>
      <c r="R42" s="132">
        <v>2784.4263582100002</v>
      </c>
      <c r="S42" s="132"/>
      <c r="T42" s="132">
        <f t="shared" ref="T42:T46" si="24">R42</f>
        <v>2784.4263582100002</v>
      </c>
      <c r="U42" s="132">
        <v>2798.7090643299998</v>
      </c>
      <c r="V42" s="132"/>
      <c r="W42" s="132">
        <f t="shared" ref="W42:W46" si="25">U42</f>
        <v>2798.7090643299998</v>
      </c>
      <c r="X42" s="132">
        <v>2809.8155834299996</v>
      </c>
      <c r="Y42" s="132"/>
      <c r="Z42" s="132">
        <f t="shared" ref="Z42:Z46" si="26">X42</f>
        <v>2809.8155834299996</v>
      </c>
      <c r="AA42" s="132">
        <v>3003.6966112800001</v>
      </c>
      <c r="AB42" s="132">
        <v>3149.06159407</v>
      </c>
      <c r="AC42" s="132">
        <v>3442.8121742200001</v>
      </c>
      <c r="AD42" s="132">
        <v>3595.4482555199993</v>
      </c>
      <c r="AE42" s="132">
        <v>3837.1493490200005</v>
      </c>
      <c r="AF42" s="137">
        <f>SUM(C42:F42)</f>
        <v>2429.3566902799998</v>
      </c>
      <c r="AG42" s="132">
        <f>SUM(G42:J42)</f>
        <v>4102.7961028500004</v>
      </c>
      <c r="AH42" s="132">
        <f>SUM(K42:N42)</f>
        <v>7176.8713205499998</v>
      </c>
      <c r="AI42" s="132">
        <f>SUM(O42,R42,U42,X42)</f>
        <v>10846.602582079999</v>
      </c>
      <c r="AJ42" s="132"/>
      <c r="AK42" s="132">
        <f t="shared" si="22"/>
        <v>10846.602582079999</v>
      </c>
      <c r="AL42" s="140">
        <f>SUM(AA42:AD42)</f>
        <v>13191.018635089998</v>
      </c>
      <c r="AM42" s="284"/>
    </row>
    <row r="43" spans="1:39" x14ac:dyDescent="0.25">
      <c r="B43" s="135" t="s">
        <v>107</v>
      </c>
      <c r="C43" s="287">
        <f t="shared" ref="C43:O43" si="27">C17</f>
        <v>25.326093</v>
      </c>
      <c r="D43" s="287">
        <f t="shared" si="27"/>
        <v>25.428473</v>
      </c>
      <c r="E43" s="287">
        <f t="shared" si="27"/>
        <v>26.250554999999999</v>
      </c>
      <c r="F43" s="287">
        <f t="shared" si="27"/>
        <v>26.079004999999999</v>
      </c>
      <c r="G43" s="287">
        <f t="shared" si="27"/>
        <v>26.000247000000002</v>
      </c>
      <c r="H43" s="287">
        <f t="shared" si="27"/>
        <v>26.132186999999998</v>
      </c>
      <c r="I43" s="154">
        <f t="shared" si="27"/>
        <v>26.449183000000001</v>
      </c>
      <c r="J43" s="154">
        <f t="shared" si="27"/>
        <v>26.522144999999998</v>
      </c>
      <c r="K43" s="154">
        <f t="shared" si="27"/>
        <v>26.505067</v>
      </c>
      <c r="L43" s="154">
        <f t="shared" si="27"/>
        <v>26.494409000000001</v>
      </c>
      <c r="M43" s="154">
        <f t="shared" si="27"/>
        <v>26.586618000000001</v>
      </c>
      <c r="N43" s="154">
        <f t="shared" si="27"/>
        <v>26.381812</v>
      </c>
      <c r="O43" s="154">
        <f t="shared" si="27"/>
        <v>26.327262999999999</v>
      </c>
      <c r="P43" s="154"/>
      <c r="Q43" s="154">
        <f t="shared" si="23"/>
        <v>26.327262999999999</v>
      </c>
      <c r="R43" s="154">
        <f t="shared" ref="R43" si="28">R17</f>
        <v>26.200347000000001</v>
      </c>
      <c r="S43" s="154"/>
      <c r="T43" s="154">
        <f t="shared" si="24"/>
        <v>26.200347000000001</v>
      </c>
      <c r="U43" s="154">
        <f t="shared" ref="U43" si="29">U17</f>
        <v>26.383064999999998</v>
      </c>
      <c r="V43" s="154"/>
      <c r="W43" s="154">
        <f t="shared" si="25"/>
        <v>26.383064999999998</v>
      </c>
      <c r="X43" s="154">
        <f t="shared" ref="X43" si="30">X17</f>
        <v>26.212071999999999</v>
      </c>
      <c r="Y43" s="154"/>
      <c r="Z43" s="154">
        <f t="shared" si="26"/>
        <v>26.212071999999999</v>
      </c>
      <c r="AA43" s="154">
        <f t="shared" ref="AA43:AE43" si="31">AA17</f>
        <v>26.003896000000001</v>
      </c>
      <c r="AB43" s="154">
        <f t="shared" si="31"/>
        <v>25.393052999999998</v>
      </c>
      <c r="AC43" s="154">
        <f t="shared" si="31"/>
        <v>25.804680000000001</v>
      </c>
      <c r="AD43" s="154">
        <f t="shared" si="31"/>
        <v>25.875719</v>
      </c>
      <c r="AE43" s="154">
        <f t="shared" si="31"/>
        <v>25.738665999999998</v>
      </c>
      <c r="AF43" s="286">
        <f>F43</f>
        <v>26.079004999999999</v>
      </c>
      <c r="AG43" s="287">
        <f>J43</f>
        <v>26.522144999999998</v>
      </c>
      <c r="AH43" s="287">
        <f>N43</f>
        <v>26.381812</v>
      </c>
      <c r="AI43" s="287">
        <f>X43</f>
        <v>26.212071999999999</v>
      </c>
      <c r="AJ43" s="287"/>
      <c r="AK43" s="287">
        <f t="shared" si="22"/>
        <v>26.212071999999999</v>
      </c>
      <c r="AL43" s="288">
        <f>AD43</f>
        <v>25.875719</v>
      </c>
    </row>
    <row r="44" spans="1:39" x14ac:dyDescent="0.25">
      <c r="B44" s="135" t="s">
        <v>146</v>
      </c>
      <c r="C44" s="154">
        <v>41.642537279951966</v>
      </c>
      <c r="D44" s="154">
        <v>43.800768548784355</v>
      </c>
      <c r="E44" s="154">
        <v>46.209540915514133</v>
      </c>
      <c r="F44" s="154">
        <v>45.151761906145076</v>
      </c>
      <c r="G44" s="154">
        <v>44.927042841808351</v>
      </c>
      <c r="H44" s="154">
        <v>47.53618586259244</v>
      </c>
      <c r="I44" s="154">
        <v>50.015292383721963</v>
      </c>
      <c r="J44" s="154">
        <v>49.256215474529917</v>
      </c>
      <c r="K44" s="154">
        <v>48.740945863795361</v>
      </c>
      <c r="L44" s="154">
        <v>52.123009216543956</v>
      </c>
      <c r="M44" s="154">
        <v>57.1755814215878</v>
      </c>
      <c r="N44" s="154">
        <v>58.201676782314784</v>
      </c>
      <c r="O44" s="154">
        <v>59.846337828163371</v>
      </c>
      <c r="P44" s="154"/>
      <c r="Q44" s="154">
        <f t="shared" si="23"/>
        <v>59.846337828163371</v>
      </c>
      <c r="R44" s="154">
        <v>66.151579975686431</v>
      </c>
      <c r="S44" s="154"/>
      <c r="T44" s="154">
        <f t="shared" si="24"/>
        <v>66.151579975686431</v>
      </c>
      <c r="U44" s="154">
        <v>68.561561230754677</v>
      </c>
      <c r="V44" s="154"/>
      <c r="W44" s="154">
        <f t="shared" si="25"/>
        <v>68.561561230754677</v>
      </c>
      <c r="X44" s="154">
        <v>68.316710905801045</v>
      </c>
      <c r="Y44" s="154"/>
      <c r="Z44" s="154">
        <f t="shared" si="26"/>
        <v>68.316710905801045</v>
      </c>
      <c r="AA44" s="154">
        <v>70.276390138229999</v>
      </c>
      <c r="AB44" s="154">
        <v>72.381181329265289</v>
      </c>
      <c r="AC44" s="154">
        <v>78.483392552296536</v>
      </c>
      <c r="AD44" s="154">
        <v>79.828835345614621</v>
      </c>
      <c r="AE44" s="154">
        <v>81.556225824512566</v>
      </c>
      <c r="AF44" s="155" t="s">
        <v>110</v>
      </c>
      <c r="AG44" s="154" t="s">
        <v>110</v>
      </c>
      <c r="AH44" s="154" t="s">
        <v>110</v>
      </c>
      <c r="AI44" s="154" t="s">
        <v>110</v>
      </c>
      <c r="AJ44" s="154"/>
      <c r="AK44" s="154" t="s">
        <v>110</v>
      </c>
      <c r="AL44" s="156" t="s">
        <v>110</v>
      </c>
    </row>
    <row r="45" spans="1:39" x14ac:dyDescent="0.25">
      <c r="B45" s="135" t="s">
        <v>125</v>
      </c>
      <c r="C45" s="290">
        <f t="shared" ref="C45:O46" si="32">C19</f>
        <v>572.42800871031784</v>
      </c>
      <c r="D45" s="290">
        <f t="shared" si="32"/>
        <v>558.69275580865781</v>
      </c>
      <c r="E45" s="290">
        <f t="shared" si="32"/>
        <v>543.99291986332526</v>
      </c>
      <c r="F45" s="290">
        <f t="shared" si="32"/>
        <v>564.89867015470588</v>
      </c>
      <c r="G45" s="290">
        <f t="shared" si="32"/>
        <v>573.61029361459521</v>
      </c>
      <c r="H45" s="290">
        <f t="shared" si="32"/>
        <v>572.76795390032419</v>
      </c>
      <c r="I45" s="132">
        <f t="shared" si="32"/>
        <v>570.18802541035177</v>
      </c>
      <c r="J45" s="132">
        <f t="shared" si="32"/>
        <v>589.31367131751801</v>
      </c>
      <c r="K45" s="132">
        <f t="shared" si="32"/>
        <v>585.73422989070434</v>
      </c>
      <c r="L45" s="132">
        <f t="shared" si="32"/>
        <v>579.54715102302771</v>
      </c>
      <c r="M45" s="132">
        <f t="shared" si="32"/>
        <v>564.73202446842856</v>
      </c>
      <c r="N45" s="132">
        <f t="shared" si="32"/>
        <v>583.59104225852604</v>
      </c>
      <c r="O45" s="132">
        <f t="shared" si="32"/>
        <v>584.85150232892124</v>
      </c>
      <c r="P45" s="132"/>
      <c r="Q45" s="132">
        <f t="shared" si="23"/>
        <v>584.85150232892124</v>
      </c>
      <c r="R45" s="132">
        <f>R19</f>
        <v>571.08301649509235</v>
      </c>
      <c r="S45" s="132"/>
      <c r="T45" s="132">
        <f t="shared" si="24"/>
        <v>571.08301649509235</v>
      </c>
      <c r="U45" s="132">
        <f>U19</f>
        <v>566.29569607202791</v>
      </c>
      <c r="V45" s="132"/>
      <c r="W45" s="132">
        <f t="shared" si="25"/>
        <v>566.29569607202791</v>
      </c>
      <c r="X45" s="132">
        <f>X19</f>
        <v>577.41582009720798</v>
      </c>
      <c r="Y45" s="132"/>
      <c r="Z45" s="132">
        <f t="shared" si="26"/>
        <v>577.41582009720798</v>
      </c>
      <c r="AA45" s="132">
        <f t="shared" ref="AA45:AL46" si="33">AA19</f>
        <v>602.5518049561972</v>
      </c>
      <c r="AB45" s="132">
        <f t="shared" si="33"/>
        <v>641.03692899656994</v>
      </c>
      <c r="AC45" s="132">
        <f t="shared" si="33"/>
        <v>621.40599275653244</v>
      </c>
      <c r="AD45" s="132">
        <f t="shared" si="33"/>
        <v>650.54047775005245</v>
      </c>
      <c r="AE45" s="132">
        <f t="shared" si="33"/>
        <v>633.15996725796492</v>
      </c>
      <c r="AF45" s="286" t="str">
        <f t="shared" si="33"/>
        <v>n.a.</v>
      </c>
      <c r="AG45" s="287" t="str">
        <f t="shared" si="33"/>
        <v>n.a.</v>
      </c>
      <c r="AH45" s="287" t="str">
        <f t="shared" si="33"/>
        <v>n.a.</v>
      </c>
      <c r="AI45" s="287" t="str">
        <f t="shared" si="33"/>
        <v>n.a.</v>
      </c>
      <c r="AJ45" s="287"/>
      <c r="AK45" s="287" t="str">
        <f t="shared" si="33"/>
        <v>n.a.</v>
      </c>
      <c r="AL45" s="288" t="str">
        <f t="shared" si="33"/>
        <v>n.a.</v>
      </c>
    </row>
    <row r="46" spans="1:39" x14ac:dyDescent="0.25">
      <c r="B46" s="135" t="s">
        <v>126</v>
      </c>
      <c r="C46" s="302">
        <f t="shared" si="32"/>
        <v>0</v>
      </c>
      <c r="D46" s="302">
        <f t="shared" si="32"/>
        <v>4.4629048744107079E-2</v>
      </c>
      <c r="E46" s="302">
        <f t="shared" si="32"/>
        <v>2.592831273838974E-2</v>
      </c>
      <c r="F46" s="302">
        <f t="shared" si="32"/>
        <v>6.1728896631273032E-2</v>
      </c>
      <c r="G46" s="302">
        <f t="shared" si="32"/>
        <v>5.2582667661970263E-2</v>
      </c>
      <c r="H46" s="302">
        <f t="shared" si="32"/>
        <v>4.4280840599155602E-2</v>
      </c>
      <c r="I46" s="143">
        <f t="shared" si="32"/>
        <v>4.4418812214288061E-2</v>
      </c>
      <c r="J46" s="143">
        <f t="shared" si="32"/>
        <v>4.9923045161337089E-2</v>
      </c>
      <c r="K46" s="143">
        <f t="shared" si="32"/>
        <v>4.8484502636118226E-2</v>
      </c>
      <c r="L46" s="143">
        <f t="shared" si="32"/>
        <v>4.7762887316093468E-2</v>
      </c>
      <c r="M46" s="143">
        <f t="shared" si="32"/>
        <v>5.1592558674495879E-2</v>
      </c>
      <c r="N46" s="143">
        <f t="shared" si="32"/>
        <v>5.6072683294558667E-2</v>
      </c>
      <c r="O46" s="143">
        <f t="shared" si="32"/>
        <v>4.4441265569543767E-2</v>
      </c>
      <c r="P46" s="143"/>
      <c r="Q46" s="143">
        <f t="shared" si="23"/>
        <v>4.4441265569543767E-2</v>
      </c>
      <c r="R46" s="143">
        <f>R20</f>
        <v>4.6717145516424599E-2</v>
      </c>
      <c r="S46" s="143"/>
      <c r="T46" s="143">
        <f t="shared" si="24"/>
        <v>4.6717145516424599E-2</v>
      </c>
      <c r="U46" s="143">
        <f>U20</f>
        <v>4.3245044654006096E-2</v>
      </c>
      <c r="V46" s="143"/>
      <c r="W46" s="143">
        <f t="shared" si="25"/>
        <v>4.3245044654006096E-2</v>
      </c>
      <c r="X46" s="143">
        <f>X20</f>
        <v>4.7160367697112376E-2</v>
      </c>
      <c r="Y46" s="143"/>
      <c r="Z46" s="143">
        <f t="shared" si="26"/>
        <v>4.7160367697112376E-2</v>
      </c>
      <c r="AA46" s="143">
        <f t="shared" si="33"/>
        <v>4.2042924493901943E-2</v>
      </c>
      <c r="AB46" s="143">
        <f t="shared" si="33"/>
        <v>5.447167690829275E-2</v>
      </c>
      <c r="AC46" s="143">
        <f t="shared" si="33"/>
        <v>2.6066544782363702E-2</v>
      </c>
      <c r="AD46" s="143">
        <f t="shared" si="33"/>
        <v>3.6423789994345826E-2</v>
      </c>
      <c r="AE46" s="143">
        <f t="shared" si="33"/>
        <v>3.8957937791954701E-2</v>
      </c>
      <c r="AF46" s="286" t="str">
        <f t="shared" si="33"/>
        <v>n.a.</v>
      </c>
      <c r="AG46" s="287" t="str">
        <f t="shared" si="33"/>
        <v>n.a.</v>
      </c>
      <c r="AH46" s="287" t="str">
        <f t="shared" si="33"/>
        <v>n.a.</v>
      </c>
      <c r="AI46" s="287" t="str">
        <f t="shared" si="33"/>
        <v>n.a.</v>
      </c>
      <c r="AJ46" s="287"/>
      <c r="AK46" s="287" t="str">
        <f t="shared" si="33"/>
        <v>n.a.</v>
      </c>
      <c r="AL46" s="288" t="str">
        <f t="shared" si="33"/>
        <v>n.a.</v>
      </c>
    </row>
    <row r="47" spans="1:39" x14ac:dyDescent="0.25">
      <c r="B47" s="181"/>
      <c r="C47" s="303"/>
      <c r="D47" s="303"/>
      <c r="E47" s="303"/>
      <c r="F47" s="303"/>
      <c r="G47" s="303"/>
      <c r="H47" s="303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304"/>
      <c r="AG47" s="303"/>
      <c r="AH47" s="303"/>
      <c r="AI47" s="303"/>
      <c r="AJ47" s="303"/>
      <c r="AK47" s="303"/>
      <c r="AL47" s="305"/>
    </row>
    <row r="48" spans="1:39" s="347" customFormat="1" ht="12" thickBot="1" x14ac:dyDescent="0.3">
      <c r="A48" s="82"/>
      <c r="B48" s="147" t="s">
        <v>114</v>
      </c>
      <c r="C48" s="148" t="s">
        <v>92</v>
      </c>
      <c r="D48" s="148" t="s">
        <v>93</v>
      </c>
      <c r="E48" s="148" t="s">
        <v>44</v>
      </c>
      <c r="F48" s="148" t="s">
        <v>45</v>
      </c>
      <c r="G48" s="148" t="s">
        <v>46</v>
      </c>
      <c r="H48" s="148" t="s">
        <v>47</v>
      </c>
      <c r="I48" s="148" t="s">
        <v>48</v>
      </c>
      <c r="J48" s="148" t="s">
        <v>49</v>
      </c>
      <c r="K48" s="148" t="s">
        <v>50</v>
      </c>
      <c r="L48" s="148" t="s">
        <v>51</v>
      </c>
      <c r="M48" s="148" t="s">
        <v>52</v>
      </c>
      <c r="N48" s="148" t="s">
        <v>53</v>
      </c>
      <c r="O48" s="148" t="s">
        <v>54</v>
      </c>
      <c r="P48" s="148" t="s">
        <v>55</v>
      </c>
      <c r="Q48" s="148" t="s">
        <v>54</v>
      </c>
      <c r="R48" s="148" t="s">
        <v>57</v>
      </c>
      <c r="S48" s="148" t="s">
        <v>55</v>
      </c>
      <c r="T48" s="148" t="s">
        <v>57</v>
      </c>
      <c r="U48" s="148" t="s">
        <v>59</v>
      </c>
      <c r="V48" s="148" t="s">
        <v>55</v>
      </c>
      <c r="W48" s="148" t="s">
        <v>59</v>
      </c>
      <c r="X48" s="148" t="s">
        <v>61</v>
      </c>
      <c r="Y48" s="148" t="s">
        <v>55</v>
      </c>
      <c r="Z48" s="148" t="s">
        <v>61</v>
      </c>
      <c r="AA48" s="149" t="s">
        <v>7</v>
      </c>
      <c r="AB48" s="149" t="s">
        <v>63</v>
      </c>
      <c r="AC48" s="149" t="s">
        <v>64</v>
      </c>
      <c r="AD48" s="149" t="s">
        <v>65</v>
      </c>
      <c r="AE48" s="149" t="s">
        <v>6</v>
      </c>
      <c r="AF48" s="150" t="s">
        <v>94</v>
      </c>
      <c r="AG48" s="148" t="s">
        <v>67</v>
      </c>
      <c r="AH48" s="148" t="s">
        <v>68</v>
      </c>
      <c r="AI48" s="148" t="s">
        <v>69</v>
      </c>
      <c r="AJ48" s="148" t="s">
        <v>103</v>
      </c>
      <c r="AK48" s="148" t="s">
        <v>69</v>
      </c>
      <c r="AL48" s="151" t="s">
        <v>71</v>
      </c>
      <c r="AM48" s="82"/>
    </row>
    <row r="49" spans="1:38" x14ac:dyDescent="0.25">
      <c r="B49" s="135" t="s">
        <v>143</v>
      </c>
      <c r="C49" s="132">
        <v>258.67749587000003</v>
      </c>
      <c r="D49" s="132">
        <v>261.77833930999998</v>
      </c>
      <c r="E49" s="132">
        <v>261.15306114999998</v>
      </c>
      <c r="F49" s="132">
        <v>270.43236387999997</v>
      </c>
      <c r="G49" s="132">
        <v>294.91784106</v>
      </c>
      <c r="H49" s="132">
        <v>277.16830985000001</v>
      </c>
      <c r="I49" s="132">
        <v>274.54715795999999</v>
      </c>
      <c r="J49" s="132">
        <v>285.16887527</v>
      </c>
      <c r="K49" s="132">
        <v>295.30505035000004</v>
      </c>
      <c r="L49" s="132">
        <v>297.48668207999998</v>
      </c>
      <c r="M49" s="132">
        <v>301.83881898999999</v>
      </c>
      <c r="N49" s="132">
        <v>311.05619715</v>
      </c>
      <c r="O49" s="132">
        <v>329.03744240999998</v>
      </c>
      <c r="P49" s="132"/>
      <c r="Q49" s="132">
        <f>O49</f>
        <v>329.03744240999998</v>
      </c>
      <c r="R49" s="132">
        <v>332.85302057999996</v>
      </c>
      <c r="S49" s="132"/>
      <c r="T49" s="132">
        <f>R49</f>
        <v>332.85302057999996</v>
      </c>
      <c r="U49" s="132">
        <v>333.03953454000003</v>
      </c>
      <c r="V49" s="132"/>
      <c r="W49" s="132">
        <f>U49</f>
        <v>333.03953454000003</v>
      </c>
      <c r="X49" s="132">
        <v>354.63749455999999</v>
      </c>
      <c r="Y49" s="132"/>
      <c r="Z49" s="132">
        <f>X49</f>
        <v>354.63749455999999</v>
      </c>
      <c r="AA49" s="132">
        <v>384.49733361</v>
      </c>
      <c r="AB49" s="132">
        <v>388.45818864</v>
      </c>
      <c r="AC49" s="132">
        <v>399.15867497000005</v>
      </c>
      <c r="AD49" s="132">
        <v>430.01797478000003</v>
      </c>
      <c r="AE49" s="132">
        <v>450.55265226999995</v>
      </c>
      <c r="AF49" s="137">
        <f>SUM(C49:F49)</f>
        <v>1052.04126021</v>
      </c>
      <c r="AG49" s="132">
        <f>SUM(G49:J49)</f>
        <v>1131.80218414</v>
      </c>
      <c r="AH49" s="132">
        <f>SUM(K49:N49)</f>
        <v>1205.68674857</v>
      </c>
      <c r="AI49" s="132">
        <f>SUM(O49,R49,U49,X49)</f>
        <v>1349.5674920900001</v>
      </c>
      <c r="AJ49" s="132"/>
      <c r="AK49" s="132">
        <f>AI49</f>
        <v>1349.5674920900001</v>
      </c>
      <c r="AL49" s="140">
        <f>SUM(AA49:AD49)</f>
        <v>1602.1321720000001</v>
      </c>
    </row>
    <row r="50" spans="1:38" x14ac:dyDescent="0.25">
      <c r="B50" s="135" t="s">
        <v>73</v>
      </c>
      <c r="C50" s="132">
        <v>258.67749587000003</v>
      </c>
      <c r="D50" s="132">
        <v>261.77833930999998</v>
      </c>
      <c r="E50" s="132">
        <v>261.15306114999998</v>
      </c>
      <c r="F50" s="132">
        <v>270.43236387999997</v>
      </c>
      <c r="G50" s="132">
        <v>294.91784106</v>
      </c>
      <c r="H50" s="132">
        <v>277.16830985000001</v>
      </c>
      <c r="I50" s="132">
        <v>274.54715795999999</v>
      </c>
      <c r="J50" s="132">
        <v>285.16887327000001</v>
      </c>
      <c r="K50" s="132">
        <v>295.29378843000001</v>
      </c>
      <c r="L50" s="132">
        <v>297.47088824000002</v>
      </c>
      <c r="M50" s="132">
        <v>301.81200715</v>
      </c>
      <c r="N50" s="132">
        <v>310.98878207000001</v>
      </c>
      <c r="O50" s="132">
        <v>329.01783649000004</v>
      </c>
      <c r="P50" s="132"/>
      <c r="Q50" s="132">
        <f t="shared" ref="Q50:Q53" si="34">O50</f>
        <v>329.01783649000004</v>
      </c>
      <c r="R50" s="132">
        <v>332.87262649999997</v>
      </c>
      <c r="S50" s="132"/>
      <c r="T50" s="132">
        <f t="shared" ref="T50:T53" si="35">R50</f>
        <v>332.87262649999997</v>
      </c>
      <c r="U50" s="132">
        <v>333.03953454000003</v>
      </c>
      <c r="V50" s="132"/>
      <c r="W50" s="132">
        <f t="shared" ref="W50:W53" si="36">U50</f>
        <v>333.03953454000003</v>
      </c>
      <c r="X50" s="132">
        <v>354.63749455999999</v>
      </c>
      <c r="Y50" s="132"/>
      <c r="Z50" s="132">
        <f t="shared" ref="Z50:Z53" si="37">X50</f>
        <v>354.63749455999999</v>
      </c>
      <c r="AA50" s="132">
        <v>384.49733361</v>
      </c>
      <c r="AB50" s="132">
        <v>388.45818864</v>
      </c>
      <c r="AC50" s="132">
        <v>399.15867497000005</v>
      </c>
      <c r="AD50" s="132">
        <v>430.01797478000003</v>
      </c>
      <c r="AE50" s="132">
        <v>450.55265226999995</v>
      </c>
      <c r="AF50" s="137">
        <f>SUM(C50:F50)</f>
        <v>1052.04126021</v>
      </c>
      <c r="AG50" s="132">
        <f>SUM(G50:J50)</f>
        <v>1131.80218214</v>
      </c>
      <c r="AH50" s="132">
        <f>SUM(K50:N50)</f>
        <v>1205.56546589</v>
      </c>
      <c r="AI50" s="132">
        <f>SUM(O50,R50,U50,X50)</f>
        <v>1349.5674920900001</v>
      </c>
      <c r="AJ50" s="132"/>
      <c r="AK50" s="132">
        <f t="shared" ref="AK50:AK52" si="38">AI50</f>
        <v>1349.5674920900001</v>
      </c>
      <c r="AL50" s="140">
        <f>SUM(AA50:AD50)</f>
        <v>1602.1321720000001</v>
      </c>
    </row>
    <row r="51" spans="1:38" x14ac:dyDescent="0.25">
      <c r="B51" s="306" t="s">
        <v>115</v>
      </c>
      <c r="C51" s="132">
        <v>147.61311013999901</v>
      </c>
      <c r="D51" s="154">
        <v>150.695027629999</v>
      </c>
      <c r="E51" s="154">
        <v>150</v>
      </c>
      <c r="F51" s="132">
        <v>155.90291846</v>
      </c>
      <c r="G51" s="132">
        <v>170.45688943000002</v>
      </c>
      <c r="H51" s="132">
        <v>169.49809381</v>
      </c>
      <c r="I51" s="132">
        <v>167.400612</v>
      </c>
      <c r="J51" s="132">
        <v>170.44600197</v>
      </c>
      <c r="K51" s="132">
        <v>180.82304300000001</v>
      </c>
      <c r="L51" s="132">
        <v>184.849154</v>
      </c>
      <c r="M51" s="132">
        <v>185.79530463999998</v>
      </c>
      <c r="N51" s="132">
        <v>189.98572999999999</v>
      </c>
      <c r="O51" s="132">
        <v>208.804249</v>
      </c>
      <c r="P51" s="132"/>
      <c r="Q51" s="132">
        <f t="shared" si="34"/>
        <v>208.804249</v>
      </c>
      <c r="R51" s="132">
        <v>215.486786</v>
      </c>
      <c r="S51" s="132"/>
      <c r="T51" s="132">
        <f t="shared" si="35"/>
        <v>215.486786</v>
      </c>
      <c r="U51" s="132">
        <v>215.58022299999999</v>
      </c>
      <c r="V51" s="132"/>
      <c r="W51" s="132">
        <f t="shared" si="36"/>
        <v>215.58022299999999</v>
      </c>
      <c r="X51" s="132">
        <v>223.791292</v>
      </c>
      <c r="Y51" s="132"/>
      <c r="Z51" s="132">
        <f t="shared" si="37"/>
        <v>223.791292</v>
      </c>
      <c r="AA51" s="132">
        <v>248.13761400000001</v>
      </c>
      <c r="AB51" s="132">
        <v>257.23357700000003</v>
      </c>
      <c r="AC51" s="132">
        <v>259.14264400000002</v>
      </c>
      <c r="AD51" s="132">
        <v>265.88491299999998</v>
      </c>
      <c r="AE51" s="132">
        <v>290.76012500000002</v>
      </c>
      <c r="AF51" s="137">
        <f>SUM(C51:F51)</f>
        <v>604.21105622999801</v>
      </c>
      <c r="AG51" s="132">
        <f>SUM(G51:J51)</f>
        <v>677.80159721000007</v>
      </c>
      <c r="AH51" s="132">
        <f>SUM(K51:N51)</f>
        <v>741.4532316399999</v>
      </c>
      <c r="AI51" s="132">
        <f>SUM(O51,R51,U51,X51)</f>
        <v>863.6625499999999</v>
      </c>
      <c r="AJ51" s="132"/>
      <c r="AK51" s="132">
        <f t="shared" si="38"/>
        <v>863.6625499999999</v>
      </c>
      <c r="AL51" s="140">
        <f>SUM(AA51:AD51)</f>
        <v>1030.3987480000001</v>
      </c>
    </row>
    <row r="52" spans="1:38" x14ac:dyDescent="0.25">
      <c r="B52" s="306" t="s">
        <v>116</v>
      </c>
      <c r="C52" s="154">
        <f>C26</f>
        <v>0.81482399999999999</v>
      </c>
      <c r="D52" s="165">
        <f>D26</f>
        <v>0.80828800000000001</v>
      </c>
      <c r="E52" s="165">
        <v>0.8</v>
      </c>
      <c r="F52" s="154">
        <f>F26</f>
        <v>0.81767900000000004</v>
      </c>
      <c r="G52" s="154">
        <f>G26</f>
        <v>0.81782200000000005</v>
      </c>
      <c r="H52" s="154">
        <f>H26</f>
        <v>0.80788800000000005</v>
      </c>
      <c r="I52" s="158">
        <v>0.80474699999999999</v>
      </c>
      <c r="J52" s="158">
        <v>0.82384000000000002</v>
      </c>
      <c r="K52" s="158">
        <v>0.83968699999999996</v>
      </c>
      <c r="L52" s="158">
        <v>0.858186</v>
      </c>
      <c r="M52" s="158">
        <v>0.88391200000000003</v>
      </c>
      <c r="N52" s="158">
        <v>0.91247199999999995</v>
      </c>
      <c r="O52" s="158">
        <v>0.93850299999999998</v>
      </c>
      <c r="P52" s="158"/>
      <c r="Q52" s="158">
        <f t="shared" si="34"/>
        <v>0.93850299999999998</v>
      </c>
      <c r="R52" s="158">
        <v>0.95662199999999997</v>
      </c>
      <c r="S52" s="158"/>
      <c r="T52" s="158">
        <f t="shared" si="35"/>
        <v>0.95662199999999997</v>
      </c>
      <c r="U52" s="158">
        <v>0.98147399999999996</v>
      </c>
      <c r="V52" s="158"/>
      <c r="W52" s="158">
        <f t="shared" si="36"/>
        <v>0.98147399999999996</v>
      </c>
      <c r="X52" s="158">
        <v>1.011209</v>
      </c>
      <c r="Y52" s="158"/>
      <c r="Z52" s="158">
        <f t="shared" si="37"/>
        <v>1.011209</v>
      </c>
      <c r="AA52" s="169">
        <v>1.032281</v>
      </c>
      <c r="AB52" s="169">
        <v>1.044028</v>
      </c>
      <c r="AC52" s="169">
        <v>1.0798410000000001</v>
      </c>
      <c r="AD52" s="169">
        <v>1.121216</v>
      </c>
      <c r="AE52" s="169">
        <v>1.1510549999999999</v>
      </c>
      <c r="AF52" s="155">
        <f>AF26</f>
        <v>0.81767900000000004</v>
      </c>
      <c r="AG52" s="154">
        <f>AG26</f>
        <v>0.82384000000000002</v>
      </c>
      <c r="AH52" s="154">
        <f>N52</f>
        <v>0.91247199999999995</v>
      </c>
      <c r="AI52" s="154">
        <f>X52</f>
        <v>1.011209</v>
      </c>
      <c r="AJ52" s="154"/>
      <c r="AK52" s="154">
        <f t="shared" si="38"/>
        <v>1.011209</v>
      </c>
      <c r="AL52" s="156">
        <f>AD52</f>
        <v>1.121216</v>
      </c>
    </row>
    <row r="53" spans="1:38" ht="12" thickBot="1" x14ac:dyDescent="0.3">
      <c r="B53" s="209" t="s">
        <v>147</v>
      </c>
      <c r="C53" s="282">
        <v>60.5824510525158</v>
      </c>
      <c r="D53" s="294">
        <v>61.895514144022698</v>
      </c>
      <c r="E53" s="307">
        <f t="shared" ref="E53:M53" si="39">E51/((D52+E52)/2)/3</f>
        <v>62.177918382777214</v>
      </c>
      <c r="F53" s="282">
        <f t="shared" si="39"/>
        <v>64.249631090799426</v>
      </c>
      <c r="G53" s="282">
        <f t="shared" si="39"/>
        <v>69.482028006504848</v>
      </c>
      <c r="H53" s="282">
        <f t="shared" si="39"/>
        <v>69.507310163969379</v>
      </c>
      <c r="I53" s="294">
        <f t="shared" si="39"/>
        <v>69.203761545545021</v>
      </c>
      <c r="J53" s="294">
        <f t="shared" si="39"/>
        <v>69.772550057196824</v>
      </c>
      <c r="K53" s="294">
        <f t="shared" si="39"/>
        <v>72.465728138667629</v>
      </c>
      <c r="L53" s="294">
        <f t="shared" si="39"/>
        <v>72.580675547189529</v>
      </c>
      <c r="M53" s="294">
        <f t="shared" si="39"/>
        <v>71.100211599270907</v>
      </c>
      <c r="N53" s="294">
        <f>N51/((M52+N52)/2)/3</f>
        <v>70.506725362357557</v>
      </c>
      <c r="O53" s="294">
        <f>O51/((N52+O52)/2)/3</f>
        <v>75.205139273445965</v>
      </c>
      <c r="P53" s="294"/>
      <c r="Q53" s="294">
        <f t="shared" si="34"/>
        <v>75.205139273445965</v>
      </c>
      <c r="R53" s="294">
        <f>R51/((Q52+R52)/2)/3</f>
        <v>75.803895433458663</v>
      </c>
      <c r="S53" s="294"/>
      <c r="T53" s="294">
        <f t="shared" si="35"/>
        <v>75.803895433458663</v>
      </c>
      <c r="U53" s="294">
        <f>U51/((T52+U52)/2)/3</f>
        <v>74.155330110926741</v>
      </c>
      <c r="V53" s="294"/>
      <c r="W53" s="294">
        <f t="shared" si="36"/>
        <v>74.155330110926741</v>
      </c>
      <c r="X53" s="294">
        <f>X51/((W52+X52)/2)/3</f>
        <v>74.87101293415293</v>
      </c>
      <c r="Y53" s="294"/>
      <c r="Z53" s="294">
        <f t="shared" si="37"/>
        <v>74.87101293415293</v>
      </c>
      <c r="AA53" s="294">
        <f>AA51/((Z52+AA52)/2)/3</f>
        <v>80.95223172122202</v>
      </c>
      <c r="AB53" s="294">
        <f>AB51/((AA52+AB52)/2)/3</f>
        <v>82.59322255662974</v>
      </c>
      <c r="AC53" s="294">
        <f>AC51/((AB52+AC52)/2)/3</f>
        <v>81.34294660671948</v>
      </c>
      <c r="AD53" s="294">
        <f>AD51/((AC52+AD52)/2)/3</f>
        <v>80.532493554990467</v>
      </c>
      <c r="AE53" s="294">
        <f>AE51/((AD52+AE52)/2)/3</f>
        <v>85.30676285237692</v>
      </c>
      <c r="AF53" s="295" t="s">
        <v>144</v>
      </c>
      <c r="AG53" s="294" t="s">
        <v>144</v>
      </c>
      <c r="AH53" s="294" t="s">
        <v>144</v>
      </c>
      <c r="AI53" s="294" t="s">
        <v>144</v>
      </c>
      <c r="AJ53" s="294"/>
      <c r="AK53" s="294" t="s">
        <v>144</v>
      </c>
      <c r="AL53" s="296" t="s">
        <v>144</v>
      </c>
    </row>
    <row r="54" spans="1:38" ht="12" thickTop="1" x14ac:dyDescent="0.25">
      <c r="AA54" s="185"/>
      <c r="AB54" s="308"/>
      <c r="AC54" s="308"/>
      <c r="AD54" s="308"/>
      <c r="AE54" s="308"/>
      <c r="AF54" s="309"/>
    </row>
    <row r="55" spans="1:38" ht="12" thickBot="1" x14ac:dyDescent="0.3">
      <c r="B55" s="187" t="s">
        <v>130</v>
      </c>
      <c r="C55" s="233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5"/>
      <c r="AG55" s="235"/>
      <c r="AH55" s="235"/>
      <c r="AI55" s="235"/>
      <c r="AJ55" s="235"/>
      <c r="AK55" s="235"/>
      <c r="AL55" s="235"/>
    </row>
    <row r="56" spans="1:38" x14ac:dyDescent="0.25">
      <c r="B56" s="141" t="s">
        <v>131</v>
      </c>
      <c r="C56" s="160">
        <v>0</v>
      </c>
      <c r="D56" s="160">
        <v>0</v>
      </c>
      <c r="E56" s="160">
        <v>0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0.19500000000000001</v>
      </c>
      <c r="M56" s="160">
        <v>0.5</v>
      </c>
      <c r="N56" s="160">
        <v>0.51100000000000001</v>
      </c>
      <c r="O56" s="160">
        <v>0.57999999999999996</v>
      </c>
      <c r="P56" s="157"/>
      <c r="Q56" s="157"/>
      <c r="R56" s="160">
        <v>0.68200000000000005</v>
      </c>
      <c r="S56" s="157"/>
      <c r="T56" s="157"/>
      <c r="U56" s="160">
        <v>0</v>
      </c>
      <c r="V56" s="157"/>
      <c r="W56" s="157"/>
      <c r="X56" s="160">
        <v>0.74</v>
      </c>
      <c r="Y56" s="157"/>
      <c r="Z56" s="157"/>
      <c r="AA56" s="160">
        <v>0.77100000000000002</v>
      </c>
      <c r="AB56" s="160">
        <v>0.81</v>
      </c>
      <c r="AC56" s="160">
        <v>0.84199999999999997</v>
      </c>
      <c r="AD56" s="160">
        <v>0.86</v>
      </c>
      <c r="AE56" s="160">
        <v>0.874</v>
      </c>
      <c r="AF56" s="236" t="s">
        <v>110</v>
      </c>
      <c r="AG56" s="143" t="s">
        <v>110</v>
      </c>
      <c r="AH56" s="143" t="s">
        <v>110</v>
      </c>
      <c r="AI56" s="143" t="s">
        <v>110</v>
      </c>
      <c r="AJ56" s="143"/>
      <c r="AK56" s="143" t="s">
        <v>110</v>
      </c>
      <c r="AL56" s="342">
        <v>0.874</v>
      </c>
    </row>
    <row r="57" spans="1:38" ht="12" thickBot="1" x14ac:dyDescent="0.3">
      <c r="A57" s="237"/>
      <c r="B57" s="237" t="s">
        <v>148</v>
      </c>
      <c r="C57" s="238">
        <v>0</v>
      </c>
      <c r="D57" s="238">
        <v>0</v>
      </c>
      <c r="E57" s="238">
        <v>0</v>
      </c>
      <c r="F57" s="238">
        <v>0</v>
      </c>
      <c r="G57" s="238">
        <v>0</v>
      </c>
      <c r="H57" s="238">
        <v>0</v>
      </c>
      <c r="I57" s="238">
        <v>0</v>
      </c>
      <c r="J57" s="238">
        <v>0</v>
      </c>
      <c r="K57" s="238">
        <v>0</v>
      </c>
      <c r="L57" s="238">
        <v>0</v>
      </c>
      <c r="M57" s="238">
        <v>0</v>
      </c>
      <c r="N57" s="238">
        <v>0</v>
      </c>
      <c r="O57" s="238">
        <v>0.15747254091699545</v>
      </c>
      <c r="P57" s="211"/>
      <c r="Q57" s="211"/>
      <c r="R57" s="238">
        <v>0.19632449906102387</v>
      </c>
      <c r="S57" s="211"/>
      <c r="T57" s="211"/>
      <c r="U57" s="238">
        <v>0.23808329320342428</v>
      </c>
      <c r="V57" s="211"/>
      <c r="W57" s="211"/>
      <c r="X57" s="238">
        <v>0.27445766210317141</v>
      </c>
      <c r="Y57" s="211"/>
      <c r="Z57" s="211"/>
      <c r="AA57" s="238">
        <v>0.30148363152967539</v>
      </c>
      <c r="AB57" s="238">
        <v>0.31</v>
      </c>
      <c r="AC57" s="238">
        <v>0.36463273328714019</v>
      </c>
      <c r="AD57" s="238">
        <v>0.35879729564229695</v>
      </c>
      <c r="AE57" s="238">
        <v>0.37873730518901016</v>
      </c>
      <c r="AF57" s="230" t="s">
        <v>110</v>
      </c>
      <c r="AG57" s="213" t="s">
        <v>110</v>
      </c>
      <c r="AH57" s="213" t="s">
        <v>110</v>
      </c>
      <c r="AI57" s="213" t="s">
        <v>110</v>
      </c>
      <c r="AJ57" s="213"/>
      <c r="AK57" s="213" t="s">
        <v>110</v>
      </c>
      <c r="AL57" s="343">
        <v>0.37873730518901016</v>
      </c>
    </row>
    <row r="58" spans="1:38" ht="12" thickTop="1" x14ac:dyDescent="0.25">
      <c r="B58" s="82"/>
      <c r="C58" s="239"/>
      <c r="D58" s="232"/>
      <c r="E58" s="232"/>
      <c r="F58" s="232"/>
      <c r="G58" s="232"/>
      <c r="H58" s="232"/>
      <c r="I58" s="232"/>
      <c r="J58" s="232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40"/>
      <c r="AG58" s="240"/>
      <c r="AH58" s="240"/>
      <c r="AI58" s="240"/>
      <c r="AJ58" s="240"/>
      <c r="AK58" s="240"/>
      <c r="AL58" s="143"/>
    </row>
    <row r="59" spans="1:38" x14ac:dyDescent="0.25">
      <c r="B59" s="82"/>
      <c r="C59" s="231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43"/>
      <c r="AG59" s="143"/>
      <c r="AH59" s="143"/>
      <c r="AI59" s="143"/>
      <c r="AJ59" s="143"/>
      <c r="AK59" s="143"/>
      <c r="AL59" s="143"/>
    </row>
    <row r="60" spans="1:38" ht="25" x14ac:dyDescent="0.25">
      <c r="B60" s="76" t="s">
        <v>157</v>
      </c>
      <c r="C60" s="231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43"/>
      <c r="AG60" s="143"/>
      <c r="AH60" s="143"/>
      <c r="AI60" s="143"/>
      <c r="AJ60" s="143"/>
      <c r="AK60" s="143"/>
      <c r="AL60" s="143"/>
    </row>
    <row r="61" spans="1:38" x14ac:dyDescent="0.25">
      <c r="B61" s="197"/>
      <c r="W61" s="185"/>
      <c r="Z61" s="185"/>
      <c r="AA61" s="185"/>
      <c r="AB61" s="185"/>
      <c r="AC61" s="185"/>
      <c r="AD61" s="185"/>
      <c r="AE61" s="185"/>
    </row>
    <row r="62" spans="1:38" x14ac:dyDescent="0.25">
      <c r="B62" s="82" t="s">
        <v>133</v>
      </c>
    </row>
    <row r="63" spans="1:38" x14ac:dyDescent="0.25">
      <c r="B63" s="197"/>
    </row>
    <row r="67" spans="5:31" x14ac:dyDescent="0.25">
      <c r="E67" s="141">
        <f>E5/E31</f>
        <v>3.9420410937392271E-2</v>
      </c>
      <c r="K67" s="310">
        <v>27.3203</v>
      </c>
      <c r="L67" s="310">
        <v>26.1784</v>
      </c>
      <c r="M67" s="310">
        <v>27.349</v>
      </c>
      <c r="N67" s="310">
        <v>27.950199999999999</v>
      </c>
      <c r="O67" s="310">
        <v>27.31</v>
      </c>
      <c r="R67" s="201">
        <v>26.561499999999999</v>
      </c>
      <c r="U67" s="201">
        <v>25.261299999999999</v>
      </c>
      <c r="X67" s="200">
        <v>24.2606</v>
      </c>
      <c r="AA67" s="200">
        <v>25.052499999999998</v>
      </c>
      <c r="AB67" s="200">
        <v>26.914300000000001</v>
      </c>
      <c r="AC67" s="200">
        <v>27.599599999999999</v>
      </c>
      <c r="AD67" s="200">
        <f>Index!E10</f>
        <v>27.9694</v>
      </c>
      <c r="AE67" s="200">
        <f>Index!E10</f>
        <v>27.9694</v>
      </c>
    </row>
  </sheetData>
  <hyperlinks>
    <hyperlink ref="B2" location="Index!A1" display="index page" xr:uid="{49247B22-DDDA-4C41-96BC-FF709C500B41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28693-2A94-4DAF-A76F-349BFA6FD7DF}">
  <sheetPr>
    <pageSetUpPr fitToPage="1"/>
  </sheetPr>
  <dimension ref="A1:AM337"/>
  <sheetViews>
    <sheetView showGridLines="0" view="pageBreakPreview" zoomScale="85" zoomScaleNormal="90" zoomScaleSheetLayoutView="85" workbookViewId="0">
      <pane xSplit="2" ySplit="4" topLeftCell="C5" activePane="bottomRight" state="frozen"/>
      <selection activeCell="K31" sqref="K31"/>
      <selection pane="topRight" activeCell="K31" sqref="K31"/>
      <selection pane="bottomLeft" activeCell="K31" sqref="K31"/>
      <selection pane="bottomRight" activeCell="AI1" sqref="AI1:AK1048576"/>
    </sheetView>
  </sheetViews>
  <sheetFormatPr defaultColWidth="9.1796875" defaultRowHeight="11.5" outlineLevelCol="1" x14ac:dyDescent="0.25"/>
  <cols>
    <col min="1" max="1" width="1.453125" style="82" customWidth="1"/>
    <col min="2" max="2" width="55.7265625" style="141" customWidth="1"/>
    <col min="3" max="14" width="10.54296875" style="82" hidden="1" customWidth="1" outlineLevel="1"/>
    <col min="15" max="15" width="10.54296875" style="82" customWidth="1" collapsed="1"/>
    <col min="16" max="16" width="10.54296875" style="82" customWidth="1"/>
    <col min="17" max="17" width="10.54296875" style="202" customWidth="1"/>
    <col min="18" max="19" width="10.54296875" style="82" customWidth="1"/>
    <col min="20" max="20" width="10.54296875" style="202" customWidth="1"/>
    <col min="21" max="22" width="10.54296875" style="82" customWidth="1"/>
    <col min="23" max="23" width="10.54296875" style="202" customWidth="1"/>
    <col min="24" max="25" width="10.54296875" style="82" customWidth="1"/>
    <col min="26" max="26" width="10.54296875" style="202" customWidth="1"/>
    <col min="27" max="31" width="10.54296875" style="82" customWidth="1"/>
    <col min="32" max="33" width="10.54296875" style="82" hidden="1" customWidth="1" outlineLevel="1"/>
    <col min="34" max="34" width="9.1796875" style="82" hidden="1" customWidth="1" outlineLevel="1"/>
    <col min="35" max="35" width="9.1796875" style="82" customWidth="1" collapsed="1"/>
    <col min="36" max="37" width="9.1796875" style="82" customWidth="1"/>
    <col min="38" max="185" width="9.1796875" style="82"/>
    <col min="186" max="186" width="55.7265625" style="82" customWidth="1"/>
    <col min="187" max="194" width="9.7265625" style="82" customWidth="1"/>
    <col min="195" max="16384" width="9.1796875" style="82"/>
  </cols>
  <sheetData>
    <row r="1" spans="2:39" x14ac:dyDescent="0.25">
      <c r="B1" s="30" t="s">
        <v>30</v>
      </c>
      <c r="Q1" s="82"/>
      <c r="T1" s="82"/>
      <c r="W1" s="82"/>
      <c r="Z1" s="82"/>
    </row>
    <row r="2" spans="2:39" ht="13.5" customHeight="1" x14ac:dyDescent="0.25">
      <c r="B2" s="34" t="s">
        <v>39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</row>
    <row r="3" spans="2:39" ht="12" thickBot="1" x14ac:dyDescent="0.3">
      <c r="B3" s="36" t="s">
        <v>40</v>
      </c>
      <c r="Q3" s="312"/>
      <c r="T3" s="312"/>
      <c r="W3" s="312"/>
      <c r="Z3" s="312"/>
    </row>
    <row r="4" spans="2:39" ht="12.5" thickTop="1" thickBot="1" x14ac:dyDescent="0.3">
      <c r="B4" s="38" t="s">
        <v>99</v>
      </c>
      <c r="C4" s="43" t="s">
        <v>92</v>
      </c>
      <c r="D4" s="43" t="s">
        <v>93</v>
      </c>
      <c r="E4" s="43" t="s">
        <v>44</v>
      </c>
      <c r="F4" s="43" t="s">
        <v>45</v>
      </c>
      <c r="G4" s="43" t="s">
        <v>46</v>
      </c>
      <c r="H4" s="43" t="s">
        <v>47</v>
      </c>
      <c r="I4" s="43" t="s">
        <v>48</v>
      </c>
      <c r="J4" s="43" t="s">
        <v>49</v>
      </c>
      <c r="K4" s="43" t="s">
        <v>50</v>
      </c>
      <c r="L4" s="43" t="s">
        <v>51</v>
      </c>
      <c r="M4" s="43" t="s">
        <v>52</v>
      </c>
      <c r="N4" s="43" t="s">
        <v>53</v>
      </c>
      <c r="O4" s="43" t="s">
        <v>54</v>
      </c>
      <c r="P4" s="43" t="s">
        <v>55</v>
      </c>
      <c r="Q4" s="43" t="s">
        <v>56</v>
      </c>
      <c r="R4" s="43" t="s">
        <v>57</v>
      </c>
      <c r="S4" s="43" t="s">
        <v>55</v>
      </c>
      <c r="T4" s="43" t="s">
        <v>58</v>
      </c>
      <c r="U4" s="43" t="s">
        <v>59</v>
      </c>
      <c r="V4" s="43" t="s">
        <v>55</v>
      </c>
      <c r="W4" s="43" t="s">
        <v>60</v>
      </c>
      <c r="X4" s="43" t="s">
        <v>61</v>
      </c>
      <c r="Y4" s="43" t="s">
        <v>55</v>
      </c>
      <c r="Z4" s="43" t="s">
        <v>62</v>
      </c>
      <c r="AA4" s="180" t="s">
        <v>7</v>
      </c>
      <c r="AB4" s="180" t="s">
        <v>63</v>
      </c>
      <c r="AC4" s="180" t="s">
        <v>64</v>
      </c>
      <c r="AD4" s="180" t="s">
        <v>65</v>
      </c>
      <c r="AE4" s="180" t="s">
        <v>6</v>
      </c>
      <c r="AF4" s="134" t="s">
        <v>94</v>
      </c>
      <c r="AG4" s="43" t="s">
        <v>67</v>
      </c>
      <c r="AH4" s="43" t="s">
        <v>68</v>
      </c>
      <c r="AI4" s="43" t="s">
        <v>69</v>
      </c>
      <c r="AJ4" s="43" t="s">
        <v>55</v>
      </c>
      <c r="AK4" s="43" t="s">
        <v>70</v>
      </c>
      <c r="AL4" s="44" t="s">
        <v>71</v>
      </c>
    </row>
    <row r="5" spans="2:39" x14ac:dyDescent="0.25">
      <c r="B5" s="135" t="s">
        <v>72</v>
      </c>
      <c r="C5" s="132">
        <v>164.79529228000001</v>
      </c>
      <c r="D5" s="132">
        <v>164.42574127999998</v>
      </c>
      <c r="E5" s="132">
        <v>168.7165315</v>
      </c>
      <c r="F5" s="132">
        <v>165.42139594999998</v>
      </c>
      <c r="G5" s="132">
        <v>153.09581486999997</v>
      </c>
      <c r="H5" s="132">
        <v>152.44351272</v>
      </c>
      <c r="I5" s="132">
        <v>130.038219</v>
      </c>
      <c r="J5" s="132">
        <v>77.689790430000002</v>
      </c>
      <c r="K5" s="132">
        <v>75.606959869999983</v>
      </c>
      <c r="L5" s="132">
        <v>79.299432920000001</v>
      </c>
      <c r="M5" s="132">
        <v>82.939685609999998</v>
      </c>
      <c r="N5" s="132">
        <v>76.889483499999997</v>
      </c>
      <c r="O5" s="132">
        <v>63.804066070000005</v>
      </c>
      <c r="P5" s="132"/>
      <c r="Q5" s="132">
        <f>O5</f>
        <v>63.804066070000005</v>
      </c>
      <c r="R5" s="132">
        <v>66.98918411999999</v>
      </c>
      <c r="S5" s="132"/>
      <c r="T5" s="132">
        <f>R5</f>
        <v>66.98918411999999</v>
      </c>
      <c r="U5" s="132">
        <v>65.976391500000005</v>
      </c>
      <c r="V5" s="132"/>
      <c r="W5" s="132">
        <f>U5</f>
        <v>65.976391500000005</v>
      </c>
      <c r="X5" s="132">
        <v>61.059937410000011</v>
      </c>
      <c r="Y5" s="132"/>
      <c r="Z5" s="132">
        <f>X5</f>
        <v>61.059937410000011</v>
      </c>
      <c r="AA5" s="132">
        <v>54.725609179999992</v>
      </c>
      <c r="AB5" s="132">
        <v>47.763131720000004</v>
      </c>
      <c r="AC5" s="132">
        <v>48.056259779999998</v>
      </c>
      <c r="AD5" s="132">
        <v>47.313804450000006</v>
      </c>
      <c r="AE5" s="132">
        <v>45.080746679999997</v>
      </c>
      <c r="AF5" s="137">
        <f>SUM(C5:F5)</f>
        <v>663.35896101000003</v>
      </c>
      <c r="AG5" s="132">
        <f>SUM(G5:J5)</f>
        <v>513.26733702000001</v>
      </c>
      <c r="AH5" s="138">
        <f>SUM(K5:N5)</f>
        <v>314.73556189999999</v>
      </c>
      <c r="AI5" s="138">
        <f>SUM(O5,R5,U5,X5)</f>
        <v>257.82957909999999</v>
      </c>
      <c r="AJ5" s="138"/>
      <c r="AK5" s="138">
        <f>AI5</f>
        <v>257.82957909999999</v>
      </c>
      <c r="AL5" s="313">
        <f>SUM(AA5:AD5)</f>
        <v>197.85880513000001</v>
      </c>
      <c r="AM5" s="172"/>
    </row>
    <row r="6" spans="2:39" x14ac:dyDescent="0.25">
      <c r="B6" s="135" t="s">
        <v>74</v>
      </c>
      <c r="C6" s="132">
        <v>100.21419252000001</v>
      </c>
      <c r="D6" s="132">
        <v>93.827633119999987</v>
      </c>
      <c r="E6" s="132">
        <v>96.328335059999986</v>
      </c>
      <c r="F6" s="132">
        <v>104.66409249000002</v>
      </c>
      <c r="G6" s="132">
        <v>78.857864029999988</v>
      </c>
      <c r="H6" s="132">
        <v>82.67342640999999</v>
      </c>
      <c r="I6" s="132">
        <v>66.600100960000006</v>
      </c>
      <c r="J6" s="132">
        <v>33.022827280000001</v>
      </c>
      <c r="K6" s="132">
        <v>33.852735119999991</v>
      </c>
      <c r="L6" s="132">
        <v>34.589628659999995</v>
      </c>
      <c r="M6" s="132">
        <v>37.108704259999996</v>
      </c>
      <c r="N6" s="132">
        <v>30.78938072</v>
      </c>
      <c r="O6" s="169">
        <v>31.784454169999993</v>
      </c>
      <c r="P6" s="132">
        <v>0.99032188910902086</v>
      </c>
      <c r="Q6" s="169">
        <f>O6-P6</f>
        <v>30.79413228089097</v>
      </c>
      <c r="R6" s="169">
        <v>34.877149239999994</v>
      </c>
      <c r="S6" s="132">
        <v>1.6240750273792663</v>
      </c>
      <c r="T6" s="169">
        <f>R6-S6</f>
        <v>33.253074212620731</v>
      </c>
      <c r="U6" s="169">
        <v>36.013525630000004</v>
      </c>
      <c r="V6" s="132">
        <v>1.1232106551418923</v>
      </c>
      <c r="W6" s="169">
        <f>U6-V6</f>
        <v>34.890314974858114</v>
      </c>
      <c r="X6" s="169">
        <v>33.443662820000007</v>
      </c>
      <c r="Y6" s="132">
        <v>0.72832450510878233</v>
      </c>
      <c r="Z6" s="169">
        <f>X6-Y6</f>
        <v>32.715338314891227</v>
      </c>
      <c r="AA6" s="169">
        <v>25.394117929999997</v>
      </c>
      <c r="AB6" s="169">
        <v>20.076579470000006</v>
      </c>
      <c r="AC6" s="169">
        <v>5.740798260000008</v>
      </c>
      <c r="AD6" s="169">
        <v>17.026489640000001</v>
      </c>
      <c r="AE6" s="169">
        <v>22.329188169999998</v>
      </c>
      <c r="AF6" s="137">
        <f>SUM(C6:F6)</f>
        <v>395.03425319000002</v>
      </c>
      <c r="AG6" s="132">
        <f>SUM(G6:J6)</f>
        <v>261.15421867999999</v>
      </c>
      <c r="AH6" s="132">
        <f>SUM(K6:N6)</f>
        <v>136.34044875999999</v>
      </c>
      <c r="AI6" s="132">
        <f>SUM(O6,R6,U6,X6)</f>
        <v>136.11879185999999</v>
      </c>
      <c r="AJ6" s="132">
        <f>SUM(P6,S6,V6,Y6)</f>
        <v>4.4659320767389614</v>
      </c>
      <c r="AK6" s="132">
        <f>AI6-AJ6</f>
        <v>131.65285978326102</v>
      </c>
      <c r="AL6" s="140">
        <f>SUM(AA6:AD6)</f>
        <v>68.23798530000002</v>
      </c>
      <c r="AM6" s="172"/>
    </row>
    <row r="7" spans="2:39" x14ac:dyDescent="0.25">
      <c r="B7" s="135" t="s">
        <v>75</v>
      </c>
      <c r="C7" s="143">
        <f t="shared" ref="C7:O7" si="0">C6/C5</f>
        <v>0.60811319991913548</v>
      </c>
      <c r="D7" s="143">
        <f t="shared" si="0"/>
        <v>0.5706383464631688</v>
      </c>
      <c r="E7" s="143">
        <f t="shared" si="0"/>
        <v>0.5709478152708467</v>
      </c>
      <c r="F7" s="143">
        <f t="shared" si="0"/>
        <v>0.63271194085217142</v>
      </c>
      <c r="G7" s="143">
        <f t="shared" si="0"/>
        <v>0.51508830660695382</v>
      </c>
      <c r="H7" s="143">
        <f t="shared" si="0"/>
        <v>0.54232170943115221</v>
      </c>
      <c r="I7" s="143">
        <f t="shared" si="0"/>
        <v>0.51215789844061155</v>
      </c>
      <c r="J7" s="143">
        <f t="shared" si="0"/>
        <v>0.42506006384138989</v>
      </c>
      <c r="K7" s="143">
        <f t="shared" si="0"/>
        <v>0.44774628127102339</v>
      </c>
      <c r="L7" s="143">
        <f t="shared" si="0"/>
        <v>0.4361901136783059</v>
      </c>
      <c r="M7" s="143">
        <f t="shared" si="0"/>
        <v>0.44741795181733623</v>
      </c>
      <c r="N7" s="143">
        <f t="shared" si="0"/>
        <v>0.40043682592821683</v>
      </c>
      <c r="O7" s="143">
        <f t="shared" si="0"/>
        <v>0.49815718852665264</v>
      </c>
      <c r="P7" s="143"/>
      <c r="Q7" s="143">
        <f>Q6/Q5</f>
        <v>0.48263589105914434</v>
      </c>
      <c r="R7" s="143">
        <f t="shared" ref="R7" si="1">R6/R5</f>
        <v>0.52063851348783974</v>
      </c>
      <c r="S7" s="143"/>
      <c r="T7" s="143">
        <f>T6/T5</f>
        <v>0.49639467399772141</v>
      </c>
      <c r="U7" s="143">
        <f t="shared" ref="U7" si="2">U6/U5</f>
        <v>0.5458547339619203</v>
      </c>
      <c r="V7" s="143"/>
      <c r="W7" s="143">
        <f>W6/W5</f>
        <v>0.52883030098513517</v>
      </c>
      <c r="X7" s="143">
        <f t="shared" ref="X7" si="3">X6/X5</f>
        <v>0.54771858993951106</v>
      </c>
      <c r="Y7" s="143"/>
      <c r="Z7" s="143">
        <f>Z6/Z5</f>
        <v>0.53579056419951909</v>
      </c>
      <c r="AA7" s="143">
        <f t="shared" ref="AA7:AE7" si="4">AA6/AA5</f>
        <v>0.46402622666977134</v>
      </c>
      <c r="AB7" s="143">
        <f t="shared" si="4"/>
        <v>0.42033632944535915</v>
      </c>
      <c r="AC7" s="143">
        <f t="shared" si="4"/>
        <v>0.11945994728431211</v>
      </c>
      <c r="AD7" s="143">
        <f t="shared" si="4"/>
        <v>0.35986304288832133</v>
      </c>
      <c r="AE7" s="143">
        <f t="shared" si="4"/>
        <v>0.49531540212723024</v>
      </c>
      <c r="AF7" s="144">
        <f>AF6/AF5</f>
        <v>0.59550601772008771</v>
      </c>
      <c r="AG7" s="143">
        <f>AG6/AG5</f>
        <v>0.50880739888153803</v>
      </c>
      <c r="AH7" s="143">
        <f>AH6/AH5</f>
        <v>0.43319047881636913</v>
      </c>
      <c r="AI7" s="143">
        <f>AI6/AI5</f>
        <v>0.52794094585713103</v>
      </c>
      <c r="AJ7" s="143"/>
      <c r="AK7" s="143">
        <f t="shared" ref="AK7" si="5">AK6/AK5</f>
        <v>0.5106196901178629</v>
      </c>
      <c r="AL7" s="145">
        <f>AL6/AL5</f>
        <v>0.34488222677360925</v>
      </c>
      <c r="AM7" s="172"/>
    </row>
    <row r="8" spans="2:39" x14ac:dyDescent="0.25">
      <c r="B8" s="135" t="s">
        <v>81</v>
      </c>
      <c r="C8" s="132">
        <v>29.550584049964861</v>
      </c>
      <c r="D8" s="132">
        <v>16.25642847578051</v>
      </c>
      <c r="E8" s="132">
        <v>37.698583419062544</v>
      </c>
      <c r="F8" s="132">
        <v>90.716484560384956</v>
      </c>
      <c r="G8" s="132">
        <v>22.24344509608628</v>
      </c>
      <c r="H8" s="132">
        <v>15.900901035439999</v>
      </c>
      <c r="I8" s="132">
        <v>9.6739723812245764</v>
      </c>
      <c r="J8" s="132">
        <v>14.848232803689413</v>
      </c>
      <c r="K8" s="132">
        <v>9.2142012622461724</v>
      </c>
      <c r="L8" s="132">
        <v>16.397426917896556</v>
      </c>
      <c r="M8" s="132">
        <v>9.0059871364952162</v>
      </c>
      <c r="N8" s="132">
        <v>4.5922018032845049</v>
      </c>
      <c r="O8" s="132">
        <v>30.265687730139533</v>
      </c>
      <c r="P8" s="132">
        <v>2.7609833526628456</v>
      </c>
      <c r="Q8" s="132">
        <f>O8-P8</f>
        <v>27.504704377476688</v>
      </c>
      <c r="R8" s="132">
        <v>14.036993157533145</v>
      </c>
      <c r="S8" s="132">
        <v>2.6304881118562644</v>
      </c>
      <c r="T8" s="132">
        <f>R8-S8</f>
        <v>11.40650504567688</v>
      </c>
      <c r="U8" s="132">
        <v>3.6023320005310677</v>
      </c>
      <c r="V8" s="132">
        <v>0.9149383628609371</v>
      </c>
      <c r="W8" s="132">
        <f>U8-V8</f>
        <v>2.6873936376701306</v>
      </c>
      <c r="X8" s="132">
        <v>11.320330891492086</v>
      </c>
      <c r="Y8" s="132">
        <v>0.28349056166907921</v>
      </c>
      <c r="Z8" s="132">
        <f>X8-Y8</f>
        <v>11.036840329823006</v>
      </c>
      <c r="AA8" s="132">
        <v>6.5992433757146296</v>
      </c>
      <c r="AB8" s="132">
        <v>23.237471117401839</v>
      </c>
      <c r="AC8" s="132">
        <v>14.853846087508026</v>
      </c>
      <c r="AD8" s="132">
        <v>17.944892442304315</v>
      </c>
      <c r="AE8" s="132">
        <v>16.192321803693925</v>
      </c>
      <c r="AF8" s="137">
        <f>SUM(C8:F8)</f>
        <v>174.22208050519288</v>
      </c>
      <c r="AG8" s="132">
        <f>SUM(G8:J8)</f>
        <v>62.666551316440263</v>
      </c>
      <c r="AH8" s="132">
        <f>SUM(K8:N8)</f>
        <v>39.209817119922448</v>
      </c>
      <c r="AI8" s="132">
        <f>SUM(O8,R8,U8,X8)</f>
        <v>59.225343779695834</v>
      </c>
      <c r="AJ8" s="132">
        <f>SUM(P8,S8,V8,Y8)</f>
        <v>6.5899003890491263</v>
      </c>
      <c r="AK8" s="132">
        <f>AI8-AJ8</f>
        <v>52.635443390646707</v>
      </c>
      <c r="AL8" s="140">
        <f>SUM(AA8:AD8)</f>
        <v>62.635453022928807</v>
      </c>
      <c r="AM8" s="172"/>
    </row>
    <row r="9" spans="2:39" x14ac:dyDescent="0.25">
      <c r="B9" s="135" t="s">
        <v>82</v>
      </c>
      <c r="C9" s="132">
        <v>29.550584049964861</v>
      </c>
      <c r="D9" s="132">
        <v>16.25642847578051</v>
      </c>
      <c r="E9" s="132">
        <v>37.698583419062544</v>
      </c>
      <c r="F9" s="132">
        <v>90.716484560384956</v>
      </c>
      <c r="G9" s="132">
        <v>22.24344509608628</v>
      </c>
      <c r="H9" s="132">
        <v>15.900901035439999</v>
      </c>
      <c r="I9" s="132">
        <v>9.6739723812245764</v>
      </c>
      <c r="J9" s="132">
        <v>14.848232803689413</v>
      </c>
      <c r="K9" s="132">
        <v>9.2142012622461724</v>
      </c>
      <c r="L9" s="132">
        <v>16.397426917896556</v>
      </c>
      <c r="M9" s="132">
        <v>9.0059871364952162</v>
      </c>
      <c r="N9" s="132">
        <v>4.5922018032845049</v>
      </c>
      <c r="O9" s="132">
        <v>30.265687730139533</v>
      </c>
      <c r="P9" s="132">
        <f>P8</f>
        <v>2.7609833526628456</v>
      </c>
      <c r="Q9" s="132">
        <f>O9-P9</f>
        <v>27.504704377476688</v>
      </c>
      <c r="R9" s="132">
        <v>14.036993157533145</v>
      </c>
      <c r="S9" s="132">
        <f>S8</f>
        <v>2.6304881118562644</v>
      </c>
      <c r="T9" s="132">
        <f>R9-S9</f>
        <v>11.40650504567688</v>
      </c>
      <c r="U9" s="132">
        <v>3.6023320005310677</v>
      </c>
      <c r="V9" s="132">
        <f>V8</f>
        <v>0.9149383628609371</v>
      </c>
      <c r="W9" s="132">
        <f>U9-V9</f>
        <v>2.6873936376701306</v>
      </c>
      <c r="X9" s="132">
        <v>11.320330891492086</v>
      </c>
      <c r="Y9" s="132">
        <f>Y8</f>
        <v>0.28349056166907921</v>
      </c>
      <c r="Z9" s="132">
        <f>X9-Y9</f>
        <v>11.036840329823006</v>
      </c>
      <c r="AA9" s="132">
        <v>6.5992433757146296</v>
      </c>
      <c r="AB9" s="132">
        <v>23.237471117401839</v>
      </c>
      <c r="AC9" s="132">
        <v>14.853846087508026</v>
      </c>
      <c r="AD9" s="132">
        <v>17.944892442304315</v>
      </c>
      <c r="AE9" s="132">
        <v>16.192321803693925</v>
      </c>
      <c r="AF9" s="137">
        <f>SUM(C9:F9)</f>
        <v>174.22208050519288</v>
      </c>
      <c r="AG9" s="132">
        <f>SUM(G9:J9)</f>
        <v>62.666551316440263</v>
      </c>
      <c r="AH9" s="132">
        <f>SUM(K9:N9)</f>
        <v>39.209817119922448</v>
      </c>
      <c r="AI9" s="132">
        <f>SUM(O9,R9,U9,X9)</f>
        <v>59.225343779695834</v>
      </c>
      <c r="AJ9" s="132">
        <f>AJ8</f>
        <v>6.5899003890491263</v>
      </c>
      <c r="AK9" s="132">
        <f>AI9-AJ9</f>
        <v>52.635443390646707</v>
      </c>
      <c r="AL9" s="140">
        <f>SUM(AA9:AD9)</f>
        <v>62.635453022928807</v>
      </c>
      <c r="AM9" s="172"/>
    </row>
    <row r="10" spans="2:39" x14ac:dyDescent="0.25">
      <c r="B10" s="135" t="s">
        <v>101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>
        <v>5.1362290743436327</v>
      </c>
      <c r="AB10" s="132">
        <v>21.257802757441059</v>
      </c>
      <c r="AC10" s="132">
        <v>11.93970812603953</v>
      </c>
      <c r="AD10" s="132">
        <v>14.001767172063213</v>
      </c>
      <c r="AE10" s="132">
        <v>12.174471285438612</v>
      </c>
      <c r="AF10" s="137"/>
      <c r="AG10" s="132"/>
      <c r="AH10" s="132"/>
      <c r="AI10" s="132"/>
      <c r="AJ10" s="132"/>
      <c r="AK10" s="132"/>
      <c r="AL10" s="140">
        <f>SUM(AA10:AD10)</f>
        <v>52.335507129887432</v>
      </c>
      <c r="AM10" s="172"/>
    </row>
    <row r="11" spans="2:39" ht="13.5" x14ac:dyDescent="0.25">
      <c r="B11" s="135" t="s">
        <v>156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>
        <v>5.1362290743436327</v>
      </c>
      <c r="AB11" s="132">
        <v>21.257802757441059</v>
      </c>
      <c r="AC11" s="132">
        <v>11.93970812603953</v>
      </c>
      <c r="AD11" s="132">
        <v>14.001767172063213</v>
      </c>
      <c r="AE11" s="132">
        <v>12.174471285438612</v>
      </c>
      <c r="AF11" s="137"/>
      <c r="AG11" s="132"/>
      <c r="AH11" s="132"/>
      <c r="AI11" s="132"/>
      <c r="AJ11" s="132"/>
      <c r="AK11" s="132"/>
      <c r="AL11" s="140">
        <f>SUM(AA11:AD11)</f>
        <v>52.335507129887432</v>
      </c>
      <c r="AM11" s="172"/>
    </row>
    <row r="12" spans="2:39" x14ac:dyDescent="0.25">
      <c r="B12" s="181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163"/>
      <c r="AB12" s="163"/>
      <c r="AC12" s="163"/>
      <c r="AD12" s="163"/>
      <c r="AE12" s="163"/>
      <c r="AF12" s="315"/>
      <c r="AG12" s="314"/>
      <c r="AH12" s="314"/>
      <c r="AI12" s="314"/>
      <c r="AJ12" s="314"/>
      <c r="AK12" s="314"/>
      <c r="AL12" s="316"/>
      <c r="AM12" s="172"/>
    </row>
    <row r="13" spans="2:39" ht="12" thickBot="1" x14ac:dyDescent="0.3">
      <c r="B13" s="147" t="s">
        <v>102</v>
      </c>
      <c r="C13" s="148" t="s">
        <v>92</v>
      </c>
      <c r="D13" s="148" t="s">
        <v>93</v>
      </c>
      <c r="E13" s="148" t="s">
        <v>44</v>
      </c>
      <c r="F13" s="148" t="s">
        <v>45</v>
      </c>
      <c r="G13" s="148" t="s">
        <v>46</v>
      </c>
      <c r="H13" s="148" t="s">
        <v>47</v>
      </c>
      <c r="I13" s="148" t="s">
        <v>48</v>
      </c>
      <c r="J13" s="148" t="s">
        <v>49</v>
      </c>
      <c r="K13" s="148" t="s">
        <v>50</v>
      </c>
      <c r="L13" s="148" t="s">
        <v>51</v>
      </c>
      <c r="M13" s="148" t="s">
        <v>52</v>
      </c>
      <c r="N13" s="148" t="s">
        <v>53</v>
      </c>
      <c r="O13" s="148" t="s">
        <v>54</v>
      </c>
      <c r="P13" s="148" t="s">
        <v>55</v>
      </c>
      <c r="Q13" s="148" t="s">
        <v>54</v>
      </c>
      <c r="R13" s="148" t="s">
        <v>57</v>
      </c>
      <c r="S13" s="148" t="s">
        <v>55</v>
      </c>
      <c r="T13" s="148" t="s">
        <v>57</v>
      </c>
      <c r="U13" s="148" t="s">
        <v>59</v>
      </c>
      <c r="V13" s="148" t="s">
        <v>55</v>
      </c>
      <c r="W13" s="148" t="s">
        <v>59</v>
      </c>
      <c r="X13" s="148" t="s">
        <v>61</v>
      </c>
      <c r="Y13" s="148" t="s">
        <v>55</v>
      </c>
      <c r="Z13" s="148" t="s">
        <v>61</v>
      </c>
      <c r="AA13" s="149" t="s">
        <v>7</v>
      </c>
      <c r="AB13" s="149" t="s">
        <v>63</v>
      </c>
      <c r="AC13" s="149" t="s">
        <v>64</v>
      </c>
      <c r="AD13" s="149" t="s">
        <v>65</v>
      </c>
      <c r="AE13" s="149" t="s">
        <v>6</v>
      </c>
      <c r="AF13" s="150" t="s">
        <v>94</v>
      </c>
      <c r="AG13" s="148" t="s">
        <v>67</v>
      </c>
      <c r="AH13" s="148" t="s">
        <v>68</v>
      </c>
      <c r="AI13" s="148" t="s">
        <v>69</v>
      </c>
      <c r="AJ13" s="148" t="s">
        <v>103</v>
      </c>
      <c r="AK13" s="148" t="s">
        <v>69</v>
      </c>
      <c r="AL13" s="151" t="s">
        <v>71</v>
      </c>
      <c r="AM13" s="172"/>
    </row>
    <row r="14" spans="2:39" x14ac:dyDescent="0.25">
      <c r="B14" s="135" t="s">
        <v>72</v>
      </c>
      <c r="C14" s="132">
        <v>163.55600375999998</v>
      </c>
      <c r="D14" s="132">
        <v>163.29491680000001</v>
      </c>
      <c r="E14" s="132">
        <v>167.60873669</v>
      </c>
      <c r="F14" s="132">
        <v>164.40499363000001</v>
      </c>
      <c r="G14" s="132">
        <v>152.0791289</v>
      </c>
      <c r="H14" s="132">
        <v>151.45561261999998</v>
      </c>
      <c r="I14" s="132">
        <v>129.22015185999999</v>
      </c>
      <c r="J14" s="132">
        <v>77.190170210000005</v>
      </c>
      <c r="K14" s="132">
        <v>75.083825110000006</v>
      </c>
      <c r="L14" s="132">
        <v>78.667869599999989</v>
      </c>
      <c r="M14" s="132">
        <v>82.381670499999998</v>
      </c>
      <c r="N14" s="132">
        <v>76.40443083000001</v>
      </c>
      <c r="O14" s="132">
        <v>63.370469960000001</v>
      </c>
      <c r="P14" s="132"/>
      <c r="Q14" s="132">
        <f>O14</f>
        <v>63.370469960000001</v>
      </c>
      <c r="R14" s="132">
        <v>66.469782479999992</v>
      </c>
      <c r="S14" s="132"/>
      <c r="T14" s="132">
        <f>R14</f>
        <v>66.469782479999992</v>
      </c>
      <c r="U14" s="132">
        <v>65.466371469999999</v>
      </c>
      <c r="V14" s="132"/>
      <c r="W14" s="132">
        <f>U14</f>
        <v>65.466371469999999</v>
      </c>
      <c r="X14" s="132">
        <v>60.562646730000004</v>
      </c>
      <c r="Y14" s="132"/>
      <c r="Z14" s="132">
        <f>X14</f>
        <v>60.562646730000004</v>
      </c>
      <c r="AA14" s="132">
        <v>54.306590989999997</v>
      </c>
      <c r="AB14" s="132">
        <v>47.428586400000007</v>
      </c>
      <c r="AC14" s="132">
        <v>47.682607770000004</v>
      </c>
      <c r="AD14" s="132">
        <v>46.909457620000005</v>
      </c>
      <c r="AE14" s="132">
        <v>44.77285243</v>
      </c>
      <c r="AF14" s="137">
        <f>SUM(C14:F14)</f>
        <v>658.86465088</v>
      </c>
      <c r="AG14" s="132">
        <f>SUM(G14:J14)</f>
        <v>509.94506359000002</v>
      </c>
      <c r="AH14" s="132">
        <f>SUM(K14:N14)</f>
        <v>312.53779603999999</v>
      </c>
      <c r="AI14" s="132">
        <f>SUM(O14,R14,U14,X14)</f>
        <v>255.86927064</v>
      </c>
      <c r="AJ14" s="132"/>
      <c r="AK14" s="132">
        <f>AI14</f>
        <v>255.86927064</v>
      </c>
      <c r="AL14" s="140">
        <f>SUM(AA14:AD14)</f>
        <v>196.32724278000001</v>
      </c>
      <c r="AM14" s="172"/>
    </row>
    <row r="15" spans="2:39" x14ac:dyDescent="0.25">
      <c r="B15" s="135" t="s">
        <v>73</v>
      </c>
      <c r="C15" s="132">
        <v>163.50248186000002</v>
      </c>
      <c r="D15" s="132">
        <v>163.24420596000002</v>
      </c>
      <c r="E15" s="132">
        <v>167.5661499</v>
      </c>
      <c r="F15" s="132">
        <v>164.36063163</v>
      </c>
      <c r="G15" s="132">
        <v>152.04261525000001</v>
      </c>
      <c r="H15" s="132">
        <v>151.35966916999999</v>
      </c>
      <c r="I15" s="132">
        <v>129.08267898</v>
      </c>
      <c r="J15" s="132">
        <v>76.900337910000005</v>
      </c>
      <c r="K15" s="132">
        <v>75.011114719999995</v>
      </c>
      <c r="L15" s="132">
        <v>78.566629000000006</v>
      </c>
      <c r="M15" s="132">
        <v>82.26872834000001</v>
      </c>
      <c r="N15" s="132">
        <v>76.281855930000006</v>
      </c>
      <c r="O15" s="132">
        <v>63.344822579999999</v>
      </c>
      <c r="P15" s="132"/>
      <c r="Q15" s="132">
        <f t="shared" ref="Q15:Q19" si="6">O15</f>
        <v>63.344822579999999</v>
      </c>
      <c r="R15" s="132">
        <v>66.423249319999996</v>
      </c>
      <c r="S15" s="132"/>
      <c r="T15" s="132">
        <f t="shared" ref="T15:T19" si="7">R15</f>
        <v>66.423249319999996</v>
      </c>
      <c r="U15" s="132">
        <v>65.436049030000007</v>
      </c>
      <c r="V15" s="132"/>
      <c r="W15" s="132">
        <f t="shared" ref="W15:W19" si="8">U15</f>
        <v>65.436049030000007</v>
      </c>
      <c r="X15" s="132">
        <v>60.028892949999999</v>
      </c>
      <c r="Y15" s="132"/>
      <c r="Z15" s="132">
        <f t="shared" ref="Z15:Z19" si="9">X15</f>
        <v>60.028892949999999</v>
      </c>
      <c r="AA15" s="132">
        <v>54.040704949999999</v>
      </c>
      <c r="AB15" s="132">
        <v>47.408620980000002</v>
      </c>
      <c r="AC15" s="132">
        <v>47.664245810000004</v>
      </c>
      <c r="AD15" s="132">
        <v>46.872995029999998</v>
      </c>
      <c r="AE15" s="132">
        <v>44.767324409999993</v>
      </c>
      <c r="AF15" s="137">
        <f>SUM(C15:F15)</f>
        <v>658.67346935</v>
      </c>
      <c r="AG15" s="132">
        <f>SUM(G15:J15)</f>
        <v>509.38530130999999</v>
      </c>
      <c r="AH15" s="132">
        <f>SUM(K15:N15)</f>
        <v>312.12832799</v>
      </c>
      <c r="AI15" s="132">
        <f>SUM(O15,R15,U15,X15)</f>
        <v>255.23301387999999</v>
      </c>
      <c r="AJ15" s="132"/>
      <c r="AK15" s="132">
        <f t="shared" ref="AK15:AK17" si="10">AI15</f>
        <v>255.23301387999999</v>
      </c>
      <c r="AL15" s="140">
        <f>SUM(AA15:AD15)</f>
        <v>195.98656677</v>
      </c>
      <c r="AM15" s="172"/>
    </row>
    <row r="16" spans="2:39" x14ac:dyDescent="0.25">
      <c r="B16" s="285" t="s">
        <v>123</v>
      </c>
      <c r="C16" s="154">
        <v>36.36737703</v>
      </c>
      <c r="D16" s="154">
        <v>37.341640649999995</v>
      </c>
      <c r="E16" s="154">
        <v>38.289522959999992</v>
      </c>
      <c r="F16" s="154">
        <v>40.246181999999997</v>
      </c>
      <c r="G16" s="154">
        <v>39.954323359999997</v>
      </c>
      <c r="H16" s="154">
        <v>36.883457399999998</v>
      </c>
      <c r="I16" s="154">
        <v>31.024575120000002</v>
      </c>
      <c r="J16" s="154">
        <v>20.063675270000005</v>
      </c>
      <c r="K16" s="154">
        <v>22.842067119999999</v>
      </c>
      <c r="L16" s="154">
        <v>26.655667799999996</v>
      </c>
      <c r="M16" s="154">
        <v>28.715513779999998</v>
      </c>
      <c r="N16" s="154">
        <v>29.841380839999996</v>
      </c>
      <c r="O16" s="154">
        <v>28.112028640000002</v>
      </c>
      <c r="P16" s="154"/>
      <c r="Q16" s="132">
        <f t="shared" si="6"/>
        <v>28.112028640000002</v>
      </c>
      <c r="R16" s="154">
        <v>30.140645019999997</v>
      </c>
      <c r="S16" s="154"/>
      <c r="T16" s="132">
        <f t="shared" si="7"/>
        <v>30.140645019999997</v>
      </c>
      <c r="U16" s="154">
        <v>30.163193499999998</v>
      </c>
      <c r="V16" s="154"/>
      <c r="W16" s="132">
        <f t="shared" si="8"/>
        <v>30.163193499999998</v>
      </c>
      <c r="X16" s="154">
        <v>31.360067240000003</v>
      </c>
      <c r="Y16" s="154"/>
      <c r="Z16" s="132">
        <f t="shared" si="9"/>
        <v>31.360067240000003</v>
      </c>
      <c r="AA16" s="154">
        <v>31.280021670000004</v>
      </c>
      <c r="AB16" s="154">
        <v>25.300199520000003</v>
      </c>
      <c r="AC16" s="154">
        <v>25.971086070000002</v>
      </c>
      <c r="AD16" s="154">
        <v>28.472640000000006</v>
      </c>
      <c r="AE16" s="154">
        <v>28.694742999999999</v>
      </c>
      <c r="AF16" s="137">
        <f>SUM(C16:F16)</f>
        <v>152.24472263999999</v>
      </c>
      <c r="AG16" s="154">
        <f>SUM(G16:J16)</f>
        <v>127.92603115</v>
      </c>
      <c r="AH16" s="154">
        <f>SUM(K16:N16)</f>
        <v>108.05462953999999</v>
      </c>
      <c r="AI16" s="154">
        <f>SUM(O16,R16,U16,X16)</f>
        <v>119.77593440000001</v>
      </c>
      <c r="AJ16" s="154"/>
      <c r="AK16" s="154">
        <f t="shared" si="10"/>
        <v>119.77593440000001</v>
      </c>
      <c r="AL16" s="156">
        <f>SUM(AA16:AD16)</f>
        <v>111.02394726</v>
      </c>
      <c r="AM16" s="172"/>
    </row>
    <row r="17" spans="2:39" x14ac:dyDescent="0.25">
      <c r="B17" s="135" t="s">
        <v>107</v>
      </c>
      <c r="C17" s="154">
        <v>9.496219</v>
      </c>
      <c r="D17" s="154">
        <v>9.3072049999999997</v>
      </c>
      <c r="E17" s="154">
        <v>9.5511569999999999</v>
      </c>
      <c r="F17" s="154">
        <v>9.5065030000000004</v>
      </c>
      <c r="G17" s="154">
        <v>9.5449789999999997</v>
      </c>
      <c r="H17" s="154">
        <v>9.5761409999999998</v>
      </c>
      <c r="I17" s="154">
        <v>9.5401450000000008</v>
      </c>
      <c r="J17" s="154">
        <v>9.6900220000000008</v>
      </c>
      <c r="K17" s="154">
        <v>9.5849989999999998</v>
      </c>
      <c r="L17" s="154">
        <v>9.2801690000000008</v>
      </c>
      <c r="M17" s="154">
        <v>9.095542</v>
      </c>
      <c r="N17" s="154">
        <v>9.1091800000000003</v>
      </c>
      <c r="O17" s="154">
        <v>8.9868220000000001</v>
      </c>
      <c r="P17" s="154"/>
      <c r="Q17" s="132">
        <f t="shared" si="6"/>
        <v>8.9868220000000001</v>
      </c>
      <c r="R17" s="154">
        <v>8.6691990000000008</v>
      </c>
      <c r="S17" s="154"/>
      <c r="T17" s="132">
        <f t="shared" si="7"/>
        <v>8.6691990000000008</v>
      </c>
      <c r="U17" s="154">
        <v>8.3771229999999992</v>
      </c>
      <c r="V17" s="154"/>
      <c r="W17" s="132">
        <f t="shared" si="8"/>
        <v>8.3771229999999992</v>
      </c>
      <c r="X17" s="154">
        <v>8.1383960000000002</v>
      </c>
      <c r="Y17" s="154"/>
      <c r="Z17" s="132">
        <f t="shared" si="9"/>
        <v>8.1383960000000002</v>
      </c>
      <c r="AA17" s="154">
        <v>7.745806</v>
      </c>
      <c r="AB17" s="154">
        <v>7.0913019999999998</v>
      </c>
      <c r="AC17" s="154">
        <v>6.8313410000000001</v>
      </c>
      <c r="AD17" s="154">
        <v>6.8082320000000003</v>
      </c>
      <c r="AE17" s="154">
        <v>6.770397</v>
      </c>
      <c r="AF17" s="317">
        <f>F17</f>
        <v>9.5065030000000004</v>
      </c>
      <c r="AG17" s="154">
        <f>J17</f>
        <v>9.6900220000000008</v>
      </c>
      <c r="AH17" s="154">
        <f>N17</f>
        <v>9.1091800000000003</v>
      </c>
      <c r="AI17" s="154">
        <f>X17</f>
        <v>8.1383960000000002</v>
      </c>
      <c r="AJ17" s="154"/>
      <c r="AK17" s="154">
        <f t="shared" si="10"/>
        <v>8.1383960000000002</v>
      </c>
      <c r="AL17" s="156">
        <f>AD17</f>
        <v>6.8082320000000003</v>
      </c>
      <c r="AM17" s="172"/>
    </row>
    <row r="18" spans="2:39" x14ac:dyDescent="0.25">
      <c r="B18" s="135" t="s">
        <v>134</v>
      </c>
      <c r="C18" s="154">
        <v>5.5835167750604375</v>
      </c>
      <c r="D18" s="154">
        <v>5.7435748932393018</v>
      </c>
      <c r="E18" s="154">
        <v>5.8874731633638175</v>
      </c>
      <c r="F18" s="154">
        <v>5.7291211687758796</v>
      </c>
      <c r="G18" s="154">
        <v>5.2986758674906937</v>
      </c>
      <c r="H18" s="154">
        <v>5.2526340733876111</v>
      </c>
      <c r="I18" s="154">
        <v>4.462671416752535</v>
      </c>
      <c r="J18" s="154">
        <v>2.682217729397081</v>
      </c>
      <c r="K18" s="154">
        <v>2.5933334087331645</v>
      </c>
      <c r="L18" s="154">
        <v>2.748619007262485</v>
      </c>
      <c r="M18" s="154">
        <v>2.9639649923387092</v>
      </c>
      <c r="N18" s="154">
        <v>2.7744954461082503</v>
      </c>
      <c r="O18" s="154">
        <v>2.3205917907539284</v>
      </c>
      <c r="P18" s="154"/>
      <c r="Q18" s="132">
        <f t="shared" si="6"/>
        <v>2.3205917907539284</v>
      </c>
      <c r="R18" s="154">
        <v>2.4628371817183496</v>
      </c>
      <c r="S18" s="154"/>
      <c r="T18" s="132">
        <f t="shared" si="7"/>
        <v>2.4628371817183496</v>
      </c>
      <c r="U18" s="154">
        <v>2.4971499126517345</v>
      </c>
      <c r="V18" s="154"/>
      <c r="W18" s="132">
        <f t="shared" si="8"/>
        <v>2.4971499126517345</v>
      </c>
      <c r="X18" s="154">
        <v>2.3773073777861091</v>
      </c>
      <c r="Y18" s="154"/>
      <c r="Z18" s="132">
        <f t="shared" si="9"/>
        <v>2.3773073777861091</v>
      </c>
      <c r="AA18" s="154">
        <v>2.2638284281871175</v>
      </c>
      <c r="AB18" s="154">
        <v>2.1181264291307085</v>
      </c>
      <c r="AC18" s="154">
        <v>2.2548863401869892</v>
      </c>
      <c r="AD18" s="154">
        <v>2.2628856988411585</v>
      </c>
      <c r="AE18" s="154">
        <v>2.174994159817853</v>
      </c>
      <c r="AF18" s="319" t="s">
        <v>110</v>
      </c>
      <c r="AG18" s="154" t="s">
        <v>110</v>
      </c>
      <c r="AH18" s="154" t="s">
        <v>110</v>
      </c>
      <c r="AI18" s="154" t="s">
        <v>110</v>
      </c>
      <c r="AJ18" s="154"/>
      <c r="AK18" s="154" t="s">
        <v>110</v>
      </c>
      <c r="AL18" s="156" t="s">
        <v>110</v>
      </c>
      <c r="AM18" s="172"/>
    </row>
    <row r="19" spans="2:39" x14ac:dyDescent="0.25">
      <c r="B19" s="135" t="s">
        <v>125</v>
      </c>
      <c r="C19" s="132">
        <v>481.94853227379599</v>
      </c>
      <c r="D19" s="132">
        <v>534.74134083473314</v>
      </c>
      <c r="E19" s="132">
        <v>580.41145447313295</v>
      </c>
      <c r="F19" s="132">
        <v>567.99547949394275</v>
      </c>
      <c r="G19" s="132">
        <v>544.90635595753997</v>
      </c>
      <c r="H19" s="132">
        <v>578.21407711944687</v>
      </c>
      <c r="I19" s="132">
        <v>581.16510955464184</v>
      </c>
      <c r="J19" s="132">
        <v>574.12056597900232</v>
      </c>
      <c r="K19" s="132">
        <v>545.67958514170584</v>
      </c>
      <c r="L19" s="132">
        <v>567.88737800621755</v>
      </c>
      <c r="M19" s="132">
        <v>596.17076132181944</v>
      </c>
      <c r="N19" s="132">
        <v>608.2388003789456</v>
      </c>
      <c r="O19" s="132">
        <v>575.84621896040176</v>
      </c>
      <c r="P19" s="132"/>
      <c r="Q19" s="132">
        <f t="shared" si="6"/>
        <v>575.84621896040176</v>
      </c>
      <c r="R19" s="132">
        <v>615.83145744635215</v>
      </c>
      <c r="S19" s="132"/>
      <c r="T19" s="132">
        <f t="shared" si="7"/>
        <v>615.83145744635215</v>
      </c>
      <c r="U19" s="132">
        <v>627.10518773558294</v>
      </c>
      <c r="V19" s="132"/>
      <c r="W19" s="132">
        <f t="shared" si="8"/>
        <v>627.10518773558294</v>
      </c>
      <c r="X19" s="132">
        <v>608.77572704930833</v>
      </c>
      <c r="Y19" s="132"/>
      <c r="Z19" s="132">
        <f t="shared" si="9"/>
        <v>608.77572704930833</v>
      </c>
      <c r="AA19" s="132">
        <v>598.00353160538168</v>
      </c>
      <c r="AB19" s="132">
        <v>641.68068698397747</v>
      </c>
      <c r="AC19" s="132">
        <v>691.79677958990999</v>
      </c>
      <c r="AD19" s="132">
        <v>674.31067136925765</v>
      </c>
      <c r="AE19" s="132">
        <v>681.04388041679306</v>
      </c>
      <c r="AF19" s="319" t="s">
        <v>110</v>
      </c>
      <c r="AG19" s="132" t="s">
        <v>110</v>
      </c>
      <c r="AH19" s="132" t="s">
        <v>110</v>
      </c>
      <c r="AI19" s="132" t="s">
        <v>110</v>
      </c>
      <c r="AJ19" s="132"/>
      <c r="AK19" s="132" t="s">
        <v>110</v>
      </c>
      <c r="AL19" s="140" t="s">
        <v>110</v>
      </c>
      <c r="AM19" s="172"/>
    </row>
    <row r="20" spans="2:39" x14ac:dyDescent="0.25">
      <c r="B20" s="321" t="s">
        <v>149</v>
      </c>
      <c r="C20" s="322">
        <v>0</v>
      </c>
      <c r="D20" s="322">
        <v>0.12202288264094879</v>
      </c>
      <c r="E20" s="322">
        <v>9.7316829531642252E-2</v>
      </c>
      <c r="F20" s="322">
        <v>0.12466430820992713</v>
      </c>
      <c r="G20" s="322">
        <v>0.1203942034535686</v>
      </c>
      <c r="H20" s="322">
        <v>0.12760204423171864</v>
      </c>
      <c r="I20" s="322">
        <v>0.15169850461538398</v>
      </c>
      <c r="J20" s="322">
        <v>0.14491002600237429</v>
      </c>
      <c r="K20" s="322">
        <v>0.13775777468673056</v>
      </c>
      <c r="L20" s="322">
        <v>0.15753975792847433</v>
      </c>
      <c r="M20" s="322">
        <v>0.15772690373722137</v>
      </c>
      <c r="N20" s="322">
        <v>0.14933784761997465</v>
      </c>
      <c r="O20" s="322">
        <v>0.14187089501868977</v>
      </c>
      <c r="P20" s="322"/>
      <c r="Q20" s="322">
        <f>O20</f>
        <v>0.14187089501868977</v>
      </c>
      <c r="R20" s="322">
        <v>0.15945144152241322</v>
      </c>
      <c r="S20" s="322"/>
      <c r="T20" s="322">
        <f>R20</f>
        <v>0.15945144152241322</v>
      </c>
      <c r="U20" s="322">
        <v>0.17239003228966343</v>
      </c>
      <c r="V20" s="322"/>
      <c r="W20" s="322">
        <f>U20</f>
        <v>0.17239003228966343</v>
      </c>
      <c r="X20" s="322">
        <v>0.16752219533639845</v>
      </c>
      <c r="Y20" s="322"/>
      <c r="Z20" s="322">
        <f>X20</f>
        <v>0.16752219533639845</v>
      </c>
      <c r="AA20" s="322">
        <v>0.17411916569683514</v>
      </c>
      <c r="AB20" s="322">
        <v>0.19139604738058497</v>
      </c>
      <c r="AC20" s="322">
        <v>0.1538896465817351</v>
      </c>
      <c r="AD20" s="322">
        <v>0.13432709326801892</v>
      </c>
      <c r="AE20" s="322">
        <v>0.13107354368978436</v>
      </c>
      <c r="AF20" s="319" t="s">
        <v>110</v>
      </c>
      <c r="AG20" s="322" t="s">
        <v>110</v>
      </c>
      <c r="AH20" s="322" t="s">
        <v>110</v>
      </c>
      <c r="AI20" s="322" t="s">
        <v>110</v>
      </c>
      <c r="AJ20" s="322"/>
      <c r="AK20" s="322" t="s">
        <v>110</v>
      </c>
      <c r="AL20" s="323" t="s">
        <v>110</v>
      </c>
      <c r="AM20" s="172"/>
    </row>
    <row r="21" spans="2:39" x14ac:dyDescent="0.25">
      <c r="B21" s="135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19"/>
      <c r="AG21" s="320"/>
      <c r="AH21" s="320"/>
      <c r="AI21" s="320"/>
      <c r="AJ21" s="320"/>
      <c r="AK21" s="320"/>
      <c r="AL21" s="324"/>
      <c r="AM21" s="172"/>
    </row>
    <row r="22" spans="2:39" ht="12" thickBot="1" x14ac:dyDescent="0.3">
      <c r="B22" s="147" t="s">
        <v>114</v>
      </c>
      <c r="C22" s="148" t="s">
        <v>92</v>
      </c>
      <c r="D22" s="148" t="s">
        <v>93</v>
      </c>
      <c r="E22" s="148" t="s">
        <v>44</v>
      </c>
      <c r="F22" s="148" t="s">
        <v>45</v>
      </c>
      <c r="G22" s="148" t="s">
        <v>46</v>
      </c>
      <c r="H22" s="148" t="s">
        <v>47</v>
      </c>
      <c r="I22" s="148" t="s">
        <v>48</v>
      </c>
      <c r="J22" s="148" t="s">
        <v>49</v>
      </c>
      <c r="K22" s="148" t="s">
        <v>50</v>
      </c>
      <c r="L22" s="148" t="s">
        <v>51</v>
      </c>
      <c r="M22" s="148" t="s">
        <v>52</v>
      </c>
      <c r="N22" s="148" t="s">
        <v>53</v>
      </c>
      <c r="O22" s="148" t="s">
        <v>54</v>
      </c>
      <c r="P22" s="148" t="s">
        <v>55</v>
      </c>
      <c r="Q22" s="148" t="s">
        <v>54</v>
      </c>
      <c r="R22" s="148" t="s">
        <v>57</v>
      </c>
      <c r="S22" s="148" t="s">
        <v>55</v>
      </c>
      <c r="T22" s="148" t="s">
        <v>57</v>
      </c>
      <c r="U22" s="148" t="s">
        <v>59</v>
      </c>
      <c r="V22" s="148" t="s">
        <v>55</v>
      </c>
      <c r="W22" s="148" t="s">
        <v>59</v>
      </c>
      <c r="X22" s="148" t="s">
        <v>61</v>
      </c>
      <c r="Y22" s="148" t="s">
        <v>55</v>
      </c>
      <c r="Z22" s="148" t="s">
        <v>61</v>
      </c>
      <c r="AA22" s="149" t="s">
        <v>7</v>
      </c>
      <c r="AB22" s="149" t="s">
        <v>63</v>
      </c>
      <c r="AC22" s="149" t="s">
        <v>64</v>
      </c>
      <c r="AD22" s="149" t="s">
        <v>65</v>
      </c>
      <c r="AE22" s="149" t="s">
        <v>6</v>
      </c>
      <c r="AF22" s="150" t="s">
        <v>94</v>
      </c>
      <c r="AG22" s="148" t="s">
        <v>67</v>
      </c>
      <c r="AH22" s="148" t="s">
        <v>68</v>
      </c>
      <c r="AI22" s="148" t="s">
        <v>69</v>
      </c>
      <c r="AJ22" s="148" t="s">
        <v>103</v>
      </c>
      <c r="AK22" s="148" t="s">
        <v>69</v>
      </c>
      <c r="AL22" s="151" t="s">
        <v>71</v>
      </c>
      <c r="AM22" s="172"/>
    </row>
    <row r="23" spans="2:39" x14ac:dyDescent="0.25">
      <c r="B23" s="135" t="s">
        <v>72</v>
      </c>
      <c r="C23" s="320">
        <v>1.2392885200000001</v>
      </c>
      <c r="D23" s="320">
        <v>1.13082448</v>
      </c>
      <c r="E23" s="320">
        <v>1.1077948100000004</v>
      </c>
      <c r="F23" s="320">
        <v>1.0164023200000001</v>
      </c>
      <c r="G23" s="320">
        <v>1.0166859699999999</v>
      </c>
      <c r="H23" s="320">
        <v>0.98790010000000006</v>
      </c>
      <c r="I23" s="320">
        <v>0.81806714000000003</v>
      </c>
      <c r="J23" s="320">
        <v>0.49962021999999995</v>
      </c>
      <c r="K23" s="320">
        <v>0.52313476000000003</v>
      </c>
      <c r="L23" s="320">
        <v>0.63156332000000004</v>
      </c>
      <c r="M23" s="320">
        <v>0.55801511000000004</v>
      </c>
      <c r="N23" s="320">
        <v>0.47158061000000001</v>
      </c>
      <c r="O23" s="320">
        <v>0.42579880999999997</v>
      </c>
      <c r="P23" s="320"/>
      <c r="Q23" s="320">
        <f>O23</f>
        <v>0.42579880999999997</v>
      </c>
      <c r="R23" s="320">
        <v>0.40589169999999997</v>
      </c>
      <c r="S23" s="320"/>
      <c r="T23" s="325">
        <f>R23</f>
        <v>0.40589169999999997</v>
      </c>
      <c r="U23" s="320">
        <v>0.34880999000000001</v>
      </c>
      <c r="V23" s="320"/>
      <c r="W23" s="320">
        <f>U23</f>
        <v>0.34880999000000001</v>
      </c>
      <c r="X23" s="320">
        <v>0.35317426999999996</v>
      </c>
      <c r="Y23" s="320"/>
      <c r="Z23" s="320">
        <f>X23</f>
        <v>0.35317426999999996</v>
      </c>
      <c r="AA23" s="320">
        <v>0.32683468999999998</v>
      </c>
      <c r="AB23" s="320">
        <v>0.28727221999999997</v>
      </c>
      <c r="AC23" s="320">
        <v>0.26794546999999996</v>
      </c>
      <c r="AD23" s="320">
        <v>0.26391386</v>
      </c>
      <c r="AE23" s="320">
        <v>0.23445279999999999</v>
      </c>
      <c r="AF23" s="317">
        <f>SUM(C23:F23)</f>
        <v>4.4943101300000006</v>
      </c>
      <c r="AG23" s="320">
        <f>SUM(G23:J23)</f>
        <v>3.3222734300000001</v>
      </c>
      <c r="AH23" s="325">
        <f>SUM(K23:N23)</f>
        <v>2.1842938000000003</v>
      </c>
      <c r="AI23" s="325">
        <f>SUM(O23,R23,U23,X23)</f>
        <v>1.53367477</v>
      </c>
      <c r="AJ23" s="325"/>
      <c r="AK23" s="325">
        <f>AI23</f>
        <v>1.53367477</v>
      </c>
      <c r="AL23" s="326">
        <f>SUM(AA23:AD23)</f>
        <v>1.1459662399999999</v>
      </c>
      <c r="AM23" s="172"/>
    </row>
    <row r="24" spans="2:39" ht="12" thickBot="1" x14ac:dyDescent="0.3">
      <c r="B24" s="247" t="s">
        <v>73</v>
      </c>
      <c r="C24" s="327">
        <v>1.2306584700000001</v>
      </c>
      <c r="D24" s="327">
        <v>1.12776119</v>
      </c>
      <c r="E24" s="327">
        <v>1.1047078600000002</v>
      </c>
      <c r="F24" s="327">
        <v>1.01304514</v>
      </c>
      <c r="G24" s="327">
        <v>1.0133265899999999</v>
      </c>
      <c r="H24" s="327">
        <v>0.98459474000000013</v>
      </c>
      <c r="I24" s="327">
        <v>0.81523374999999998</v>
      </c>
      <c r="J24" s="327">
        <v>0.49535977999999992</v>
      </c>
      <c r="K24" s="327">
        <v>0.51682443999999994</v>
      </c>
      <c r="L24" s="327">
        <v>0.62513171000000001</v>
      </c>
      <c r="M24" s="327">
        <v>0.55143662999999998</v>
      </c>
      <c r="N24" s="327">
        <v>0.4654006</v>
      </c>
      <c r="O24" s="327">
        <v>0.42223579999999999</v>
      </c>
      <c r="P24" s="327"/>
      <c r="Q24" s="327">
        <f>O24</f>
        <v>0.42223579999999999</v>
      </c>
      <c r="R24" s="327">
        <v>0.40234896000000003</v>
      </c>
      <c r="S24" s="327"/>
      <c r="T24" s="327">
        <f>R24</f>
        <v>0.40234896000000003</v>
      </c>
      <c r="U24" s="327">
        <v>0.34540768999999999</v>
      </c>
      <c r="V24" s="327"/>
      <c r="W24" s="327">
        <f>U24</f>
        <v>0.34540768999999999</v>
      </c>
      <c r="X24" s="327">
        <v>0.33527249999999997</v>
      </c>
      <c r="Y24" s="327"/>
      <c r="Z24" s="327">
        <f>X24</f>
        <v>0.33527249999999997</v>
      </c>
      <c r="AA24" s="327">
        <v>0.32799067999999998</v>
      </c>
      <c r="AB24" s="327">
        <v>0.28618646999999997</v>
      </c>
      <c r="AC24" s="327">
        <v>0.26794546999999996</v>
      </c>
      <c r="AD24" s="327">
        <v>0.26391386</v>
      </c>
      <c r="AE24" s="327">
        <v>0.23445279999999999</v>
      </c>
      <c r="AF24" s="328">
        <f>SUM(C24:F24)</f>
        <v>4.4761726600000005</v>
      </c>
      <c r="AG24" s="327">
        <f>SUM(G24:J24)</f>
        <v>3.3085148599999998</v>
      </c>
      <c r="AH24" s="327">
        <f>SUM(K24:N24)</f>
        <v>2.1587933800000001</v>
      </c>
      <c r="AI24" s="327">
        <f>SUM(O24,R24,U24,X24)</f>
        <v>1.5052649499999999</v>
      </c>
      <c r="AJ24" s="327"/>
      <c r="AK24" s="327">
        <f t="shared" ref="AK24" si="11">AI24</f>
        <v>1.5052649499999999</v>
      </c>
      <c r="AL24" s="329">
        <f>SUM(AA24:AD24)</f>
        <v>1.1460364799999998</v>
      </c>
      <c r="AM24" s="172"/>
    </row>
    <row r="25" spans="2:39" x14ac:dyDescent="0.25">
      <c r="B25" s="82"/>
      <c r="Q25" s="82"/>
      <c r="T25" s="82"/>
      <c r="W25" s="82"/>
      <c r="Z25" s="82"/>
      <c r="AA25" s="141"/>
      <c r="AB25" s="141"/>
      <c r="AC25" s="141"/>
      <c r="AD25" s="141"/>
      <c r="AE25" s="141"/>
      <c r="AF25" s="181"/>
      <c r="AM25" s="172"/>
    </row>
    <row r="26" spans="2:39" ht="12" thickBot="1" x14ac:dyDescent="0.3">
      <c r="B26" s="36" t="s">
        <v>150</v>
      </c>
      <c r="Q26" s="82"/>
      <c r="T26" s="82"/>
      <c r="W26" s="82"/>
      <c r="Z26" s="82"/>
      <c r="AA26" s="141"/>
      <c r="AB26" s="141"/>
      <c r="AC26" s="141"/>
      <c r="AD26" s="141"/>
      <c r="AE26" s="141"/>
      <c r="AF26" s="181"/>
      <c r="AM26" s="172"/>
    </row>
    <row r="27" spans="2:39" ht="12.5" thickTop="1" thickBot="1" x14ac:dyDescent="0.3">
      <c r="B27" s="38" t="s">
        <v>99</v>
      </c>
      <c r="C27" s="43" t="s">
        <v>92</v>
      </c>
      <c r="D27" s="43" t="s">
        <v>93</v>
      </c>
      <c r="E27" s="43" t="s">
        <v>44</v>
      </c>
      <c r="F27" s="43" t="s">
        <v>45</v>
      </c>
      <c r="G27" s="43" t="s">
        <v>46</v>
      </c>
      <c r="H27" s="43" t="s">
        <v>47</v>
      </c>
      <c r="I27" s="43" t="s">
        <v>48</v>
      </c>
      <c r="J27" s="43" t="s">
        <v>49</v>
      </c>
      <c r="K27" s="43" t="s">
        <v>50</v>
      </c>
      <c r="L27" s="43" t="s">
        <v>51</v>
      </c>
      <c r="M27" s="43" t="s">
        <v>52</v>
      </c>
      <c r="N27" s="43" t="s">
        <v>53</v>
      </c>
      <c r="O27" s="43" t="s">
        <v>54</v>
      </c>
      <c r="P27" s="43" t="s">
        <v>55</v>
      </c>
      <c r="Q27" s="43" t="s">
        <v>56</v>
      </c>
      <c r="R27" s="43" t="s">
        <v>57</v>
      </c>
      <c r="S27" s="43" t="s">
        <v>55</v>
      </c>
      <c r="T27" s="43" t="s">
        <v>58</v>
      </c>
      <c r="U27" s="43" t="s">
        <v>59</v>
      </c>
      <c r="V27" s="43" t="s">
        <v>55</v>
      </c>
      <c r="W27" s="43" t="s">
        <v>60</v>
      </c>
      <c r="X27" s="43" t="s">
        <v>61</v>
      </c>
      <c r="Y27" s="43" t="s">
        <v>55</v>
      </c>
      <c r="Z27" s="43" t="s">
        <v>62</v>
      </c>
      <c r="AA27" s="180" t="s">
        <v>7</v>
      </c>
      <c r="AB27" s="180" t="s">
        <v>63</v>
      </c>
      <c r="AC27" s="180" t="s">
        <v>64</v>
      </c>
      <c r="AD27" s="180" t="s">
        <v>65</v>
      </c>
      <c r="AE27" s="180" t="s">
        <v>6</v>
      </c>
      <c r="AF27" s="134" t="s">
        <v>94</v>
      </c>
      <c r="AG27" s="43" t="s">
        <v>67</v>
      </c>
      <c r="AH27" s="43" t="s">
        <v>68</v>
      </c>
      <c r="AI27" s="43" t="s">
        <v>69</v>
      </c>
      <c r="AJ27" s="43" t="s">
        <v>55</v>
      </c>
      <c r="AK27" s="43" t="s">
        <v>70</v>
      </c>
      <c r="AL27" s="44" t="s">
        <v>71</v>
      </c>
      <c r="AM27" s="172"/>
    </row>
    <row r="28" spans="2:39" x14ac:dyDescent="0.25">
      <c r="B28" s="135" t="s">
        <v>72</v>
      </c>
      <c r="C28" s="132">
        <v>468.60034277030996</v>
      </c>
      <c r="D28" s="132">
        <v>478.64578233429995</v>
      </c>
      <c r="E28" s="132">
        <v>502.25979473051007</v>
      </c>
      <c r="F28" s="132">
        <v>517.53591517887003</v>
      </c>
      <c r="G28" s="132">
        <v>513.30663763695986</v>
      </c>
      <c r="H28" s="132">
        <v>576.02864807496007</v>
      </c>
      <c r="I28" s="132">
        <v>624.77618624555009</v>
      </c>
      <c r="J28" s="132">
        <v>627.71663764466007</v>
      </c>
      <c r="K28" s="132">
        <v>616.68314816306008</v>
      </c>
      <c r="L28" s="132">
        <v>635.24207847978994</v>
      </c>
      <c r="M28" s="154">
        <v>650.74178684276001</v>
      </c>
      <c r="N28" s="132">
        <v>635.10095700739998</v>
      </c>
      <c r="O28" s="132">
        <v>534.67263446468996</v>
      </c>
      <c r="P28" s="132"/>
      <c r="Q28" s="132">
        <f>O28</f>
        <v>534.67263446468996</v>
      </c>
      <c r="R28" s="154">
        <v>567.75841242849003</v>
      </c>
      <c r="S28" s="132"/>
      <c r="T28" s="132">
        <f>R28</f>
        <v>567.75841242849003</v>
      </c>
      <c r="U28" s="132">
        <v>593.69631757502998</v>
      </c>
      <c r="V28" s="132"/>
      <c r="W28" s="154">
        <f>U28</f>
        <v>593.69631757502998</v>
      </c>
      <c r="X28" s="132">
        <v>579.12878416256979</v>
      </c>
      <c r="Y28" s="132"/>
      <c r="Z28" s="227">
        <f>X28</f>
        <v>579.12878416256979</v>
      </c>
      <c r="AA28" s="132">
        <v>521.51233071603997</v>
      </c>
      <c r="AB28" s="132">
        <v>479.8803965781201</v>
      </c>
      <c r="AC28" s="132">
        <v>492.06079955660999</v>
      </c>
      <c r="AD28" s="132">
        <v>492.01134422289016</v>
      </c>
      <c r="AE28" s="132">
        <v>473.61625413607004</v>
      </c>
      <c r="AF28" s="137">
        <f>SUM(C28:F28)</f>
        <v>1967.0418350139901</v>
      </c>
      <c r="AG28" s="132">
        <f>SUM(G28:J28)</f>
        <v>2341.8281096021301</v>
      </c>
      <c r="AH28" s="138">
        <f>SUM(K28:N28)</f>
        <v>2537.7679704930097</v>
      </c>
      <c r="AI28" s="138">
        <f>SUM(O28,R28,U28,X28)</f>
        <v>2275.2561486307795</v>
      </c>
      <c r="AJ28" s="138"/>
      <c r="AK28" s="138">
        <f>AI28</f>
        <v>2275.2561486307795</v>
      </c>
      <c r="AL28" s="313">
        <f>SUM(AA28:AD28)</f>
        <v>1985.4648710736601</v>
      </c>
      <c r="AM28" s="172"/>
    </row>
    <row r="29" spans="2:39" x14ac:dyDescent="0.25">
      <c r="B29" s="135" t="s">
        <v>74</v>
      </c>
      <c r="C29" s="132">
        <v>284.93443758899008</v>
      </c>
      <c r="D29" s="132">
        <v>273.1194553072599</v>
      </c>
      <c r="E29" s="132">
        <v>286.79306571406005</v>
      </c>
      <c r="F29" s="132">
        <v>328.41996636104</v>
      </c>
      <c r="G29" s="132">
        <v>264.63259120835983</v>
      </c>
      <c r="H29" s="132">
        <v>312.51819031937009</v>
      </c>
      <c r="I29" s="132">
        <v>316.23015083298998</v>
      </c>
      <c r="J29" s="132">
        <v>266.74556509246997</v>
      </c>
      <c r="K29" s="132">
        <v>276.07464612744997</v>
      </c>
      <c r="L29" s="132">
        <v>276.52037602350987</v>
      </c>
      <c r="M29" s="132">
        <v>291.03720414299994</v>
      </c>
      <c r="N29" s="132">
        <v>254.21943070721008</v>
      </c>
      <c r="O29" s="132">
        <v>266.42901773887996</v>
      </c>
      <c r="P29" s="132">
        <v>8.3030000000000008</v>
      </c>
      <c r="Q29" s="132">
        <f>O29-P29</f>
        <v>258.12601773887997</v>
      </c>
      <c r="R29" s="132">
        <v>295.64459679001993</v>
      </c>
      <c r="S29" s="132">
        <v>13.758903640179991</v>
      </c>
      <c r="T29" s="132">
        <f>R29-S29</f>
        <v>281.88569314983994</v>
      </c>
      <c r="U29" s="132">
        <v>324.74914864189003</v>
      </c>
      <c r="V29" s="132">
        <v>10.06001251146999</v>
      </c>
      <c r="W29" s="132">
        <f>U29-V29</f>
        <v>314.68913613042002</v>
      </c>
      <c r="X29" s="132">
        <v>317.20002235521997</v>
      </c>
      <c r="Y29" s="132">
        <v>6.9192778622399995</v>
      </c>
      <c r="Z29" s="132">
        <f>X29-Y29</f>
        <v>310.28074449297998</v>
      </c>
      <c r="AA29" s="132">
        <v>241.98834119955993</v>
      </c>
      <c r="AB29" s="132">
        <v>201.74572583572007</v>
      </c>
      <c r="AC29" s="132">
        <v>58.891965746720032</v>
      </c>
      <c r="AD29" s="132">
        <v>176.98708664600005</v>
      </c>
      <c r="AE29" s="132">
        <v>234.57334151758005</v>
      </c>
      <c r="AF29" s="137">
        <f>SUM(C29:F29)</f>
        <v>1173.2669249713499</v>
      </c>
      <c r="AG29" s="132">
        <f>SUM(G29:J29)</f>
        <v>1160.12649745319</v>
      </c>
      <c r="AH29" s="132">
        <f>SUM(K29:N29)</f>
        <v>1097.8516570011698</v>
      </c>
      <c r="AI29" s="132">
        <f>SUM(O29,R29,U29,X29)</f>
        <v>1204.02278552601</v>
      </c>
      <c r="AJ29" s="132">
        <f>SUM(P29,S29,V29,Y29)</f>
        <v>39.041194013889985</v>
      </c>
      <c r="AK29" s="132">
        <f>AI29-AJ29</f>
        <v>1164.9815915121201</v>
      </c>
      <c r="AL29" s="140">
        <f>SUM(AA29:AD29)</f>
        <v>679.613119428</v>
      </c>
      <c r="AM29" s="172"/>
    </row>
    <row r="30" spans="2:39" x14ac:dyDescent="0.25">
      <c r="B30" s="135" t="s">
        <v>75</v>
      </c>
      <c r="C30" s="143">
        <f t="shared" ref="C30:O30" si="12">C29/C28</f>
        <v>0.60805426625275449</v>
      </c>
      <c r="D30" s="143">
        <f t="shared" si="12"/>
        <v>0.57060871606407559</v>
      </c>
      <c r="E30" s="143">
        <f t="shared" si="12"/>
        <v>0.57100542134363008</v>
      </c>
      <c r="F30" s="143">
        <f t="shared" si="12"/>
        <v>0.63458391336479891</v>
      </c>
      <c r="G30" s="143">
        <f t="shared" si="12"/>
        <v>0.51554484552666802</v>
      </c>
      <c r="H30" s="143">
        <f t="shared" si="12"/>
        <v>0.5425393187713492</v>
      </c>
      <c r="I30" s="143">
        <f t="shared" si="12"/>
        <v>0.50614949448266089</v>
      </c>
      <c r="J30" s="143">
        <f t="shared" si="12"/>
        <v>0.42494582602328629</v>
      </c>
      <c r="K30" s="143">
        <f t="shared" si="12"/>
        <v>0.44767665039948812</v>
      </c>
      <c r="L30" s="143">
        <f t="shared" si="12"/>
        <v>0.43529921173555775</v>
      </c>
      <c r="M30" s="143">
        <f t="shared" si="12"/>
        <v>0.44723915080825111</v>
      </c>
      <c r="N30" s="143">
        <f t="shared" si="12"/>
        <v>0.4002819203817512</v>
      </c>
      <c r="O30" s="143">
        <f t="shared" si="12"/>
        <v>0.49830307475082691</v>
      </c>
      <c r="P30" s="143"/>
      <c r="Q30" s="143">
        <f>Q29/Q28</f>
        <v>0.48277394633692766</v>
      </c>
      <c r="R30" s="143">
        <f t="shared" ref="R30" si="13">R29/R28</f>
        <v>0.5207225297207847</v>
      </c>
      <c r="S30" s="143"/>
      <c r="T30" s="143">
        <f>T29/T28</f>
        <v>0.4964888004813911</v>
      </c>
      <c r="U30" s="143">
        <f t="shared" ref="U30" si="14">U29/U28</f>
        <v>0.54699538977829176</v>
      </c>
      <c r="V30" s="143"/>
      <c r="W30" s="143">
        <f>W29/W28</f>
        <v>0.53005067879783563</v>
      </c>
      <c r="X30" s="143">
        <f t="shared" ref="X30" si="15">X29/X28</f>
        <v>0.54771931741209634</v>
      </c>
      <c r="Y30" s="143"/>
      <c r="Z30" s="143">
        <f>Z29/Z28</f>
        <v>0.5357715813446422</v>
      </c>
      <c r="AA30" s="143">
        <f t="shared" ref="AA30:AE30" si="16">AA29/AA28</f>
        <v>0.46401269336682471</v>
      </c>
      <c r="AB30" s="143">
        <f t="shared" si="16"/>
        <v>0.42040835023540646</v>
      </c>
      <c r="AC30" s="143">
        <f t="shared" si="16"/>
        <v>0.11968432722091836</v>
      </c>
      <c r="AD30" s="143">
        <f t="shared" si="16"/>
        <v>0.35972155667577788</v>
      </c>
      <c r="AE30" s="143">
        <f t="shared" si="16"/>
        <v>0.49528144245274802</v>
      </c>
      <c r="AF30" s="144">
        <f>AF29/AF28</f>
        <v>0.5964626191913226</v>
      </c>
      <c r="AG30" s="143">
        <f>AG29/AG28</f>
        <v>0.49539353153049831</v>
      </c>
      <c r="AH30" s="143">
        <f>AH29/AH28</f>
        <v>0.4326052144112652</v>
      </c>
      <c r="AI30" s="143">
        <f>AI29/AI28</f>
        <v>0.5291812028507541</v>
      </c>
      <c r="AJ30" s="143"/>
      <c r="AK30" s="143">
        <f t="shared" ref="AK30" si="17">AK29/AK28</f>
        <v>0.51202217043263076</v>
      </c>
      <c r="AL30" s="145">
        <f>AL29/AL28</f>
        <v>0.34229420491357893</v>
      </c>
      <c r="AM30" s="172"/>
    </row>
    <row r="31" spans="2:39" x14ac:dyDescent="0.25">
      <c r="B31" s="135" t="s">
        <v>81</v>
      </c>
      <c r="C31" s="132">
        <v>84.660458189309992</v>
      </c>
      <c r="D31" s="132">
        <v>47.475287909061613</v>
      </c>
      <c r="E31" s="132">
        <v>111.95995062982136</v>
      </c>
      <c r="F31" s="132">
        <v>289.17974369218166</v>
      </c>
      <c r="G31" s="132">
        <v>74.936693384996332</v>
      </c>
      <c r="H31" s="132">
        <v>59.813164511780698</v>
      </c>
      <c r="I31" s="132">
        <v>49.571088696026017</v>
      </c>
      <c r="J31" s="132">
        <v>120.09106161121895</v>
      </c>
      <c r="K31" s="132">
        <v>75.249380166580536</v>
      </c>
      <c r="L31" s="132">
        <v>131.71756280830644</v>
      </c>
      <c r="M31" s="132">
        <v>70.642275278488682</v>
      </c>
      <c r="N31" s="132">
        <v>37.858341584440893</v>
      </c>
      <c r="O31" s="132">
        <v>253.35369175911393</v>
      </c>
      <c r="P31" s="132">
        <v>23.167105364059999</v>
      </c>
      <c r="Q31" s="132">
        <f>O31-P31</f>
        <v>230.18658639505392</v>
      </c>
      <c r="R31" s="132">
        <v>118.7392814281452</v>
      </c>
      <c r="S31" s="132">
        <v>22.243369647000002</v>
      </c>
      <c r="T31" s="132">
        <f>R31-S31</f>
        <v>96.495911781145196</v>
      </c>
      <c r="U31" s="132">
        <v>31.861607786814798</v>
      </c>
      <c r="V31" s="132">
        <v>8.3618710158800003</v>
      </c>
      <c r="W31" s="132">
        <f>U31-V31</f>
        <v>23.499736770934796</v>
      </c>
      <c r="X31" s="132">
        <v>107.30905817702842</v>
      </c>
      <c r="Y31" s="132">
        <v>2.6970695193200003</v>
      </c>
      <c r="Z31" s="132">
        <f>X31-Y31</f>
        <v>104.61198865770842</v>
      </c>
      <c r="AA31" s="132">
        <v>62.852447819335175</v>
      </c>
      <c r="AB31" s="132">
        <v>232.00324321338476</v>
      </c>
      <c r="AC31" s="132">
        <v>151.512228562562</v>
      </c>
      <c r="AD31" s="132">
        <v>186.99400508665076</v>
      </c>
      <c r="AE31" s="132">
        <v>170.236781679898</v>
      </c>
      <c r="AF31" s="137">
        <f>SUM(C31:F31)</f>
        <v>533.27544042037471</v>
      </c>
      <c r="AG31" s="132">
        <f>SUM(G31:J31)</f>
        <v>304.41200820402196</v>
      </c>
      <c r="AH31" s="132">
        <f>SUM(K31:N31)</f>
        <v>315.46755983781657</v>
      </c>
      <c r="AI31" s="132">
        <f>SUM(O31,R31,U31,X31)</f>
        <v>511.26363915110232</v>
      </c>
      <c r="AJ31" s="132">
        <f>SUM(P31,S31,V31,Y31)</f>
        <v>56.469415546260002</v>
      </c>
      <c r="AK31" s="132">
        <f>AI31-AJ31</f>
        <v>454.79422360484233</v>
      </c>
      <c r="AL31" s="140">
        <f>SUM(AA31:AD31)</f>
        <v>633.36192468193269</v>
      </c>
      <c r="AM31" s="172"/>
    </row>
    <row r="32" spans="2:39" x14ac:dyDescent="0.25">
      <c r="B32" s="135" t="s">
        <v>82</v>
      </c>
      <c r="C32" s="132">
        <v>84.660458189309992</v>
      </c>
      <c r="D32" s="132">
        <v>47.475287909061613</v>
      </c>
      <c r="E32" s="132">
        <v>111.95995062982136</v>
      </c>
      <c r="F32" s="132">
        <v>289.17974369218166</v>
      </c>
      <c r="G32" s="132">
        <v>74.936693384996332</v>
      </c>
      <c r="H32" s="132">
        <v>59.813164511780698</v>
      </c>
      <c r="I32" s="132">
        <v>49.571088696026017</v>
      </c>
      <c r="J32" s="132">
        <v>120.09106161121895</v>
      </c>
      <c r="K32" s="132">
        <v>75.249380166580536</v>
      </c>
      <c r="L32" s="132">
        <v>131.71756280830644</v>
      </c>
      <c r="M32" s="132">
        <v>70.642275278488682</v>
      </c>
      <c r="N32" s="132">
        <v>37.858341584440893</v>
      </c>
      <c r="O32" s="132">
        <v>253.35369175911393</v>
      </c>
      <c r="P32" s="132">
        <f>P31</f>
        <v>23.167105364059999</v>
      </c>
      <c r="Q32" s="132">
        <f>O32-P32</f>
        <v>230.18658639505392</v>
      </c>
      <c r="R32" s="132">
        <v>118.7392814281452</v>
      </c>
      <c r="S32" s="132">
        <f>S31</f>
        <v>22.243369647000002</v>
      </c>
      <c r="T32" s="132">
        <f>R32-S32</f>
        <v>96.495911781145196</v>
      </c>
      <c r="U32" s="132">
        <v>31.861607786814798</v>
      </c>
      <c r="V32" s="132">
        <f>V31</f>
        <v>8.3618710158800003</v>
      </c>
      <c r="W32" s="132">
        <f>U32-V32</f>
        <v>23.499736770934796</v>
      </c>
      <c r="X32" s="132">
        <v>107.30905817702842</v>
      </c>
      <c r="Y32" s="132">
        <f>Y31</f>
        <v>2.6970695193200003</v>
      </c>
      <c r="Z32" s="132">
        <f>X32-Y32</f>
        <v>104.61198865770842</v>
      </c>
      <c r="AA32" s="132">
        <v>62.852447819335175</v>
      </c>
      <c r="AB32" s="132">
        <v>232.00324321338476</v>
      </c>
      <c r="AC32" s="132">
        <v>151.512228562562</v>
      </c>
      <c r="AD32" s="132">
        <v>186.99400508665076</v>
      </c>
      <c r="AE32" s="132">
        <v>170.236781679898</v>
      </c>
      <c r="AF32" s="137">
        <f>SUM(C32:F32)</f>
        <v>533.27544042037471</v>
      </c>
      <c r="AG32" s="132">
        <f>SUM(G32:J32)</f>
        <v>304.41200820402196</v>
      </c>
      <c r="AH32" s="132">
        <f>SUM(K32:N32)</f>
        <v>315.46755983781657</v>
      </c>
      <c r="AI32" s="132">
        <f>SUM(O32,R32,U32,X32)</f>
        <v>511.26363915110232</v>
      </c>
      <c r="AJ32" s="132">
        <f>AJ31</f>
        <v>56.469415546260002</v>
      </c>
      <c r="AK32" s="132">
        <f>AI32-AJ32</f>
        <v>454.79422360484233</v>
      </c>
      <c r="AL32" s="140">
        <f>SUM(AA32:AD32)</f>
        <v>633.36192468193269</v>
      </c>
      <c r="AM32" s="172"/>
    </row>
    <row r="33" spans="2:39" x14ac:dyDescent="0.25">
      <c r="B33" s="135" t="s">
        <v>101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>
        <v>48.91245629535517</v>
      </c>
      <c r="AB33" s="132">
        <v>212.17574136055475</v>
      </c>
      <c r="AC33" s="132">
        <v>121.55309720278845</v>
      </c>
      <c r="AD33" s="132">
        <v>145.93933794020435</v>
      </c>
      <c r="AE33" s="132">
        <v>128.06682026919802</v>
      </c>
      <c r="AF33" s="137"/>
      <c r="AG33" s="132"/>
      <c r="AH33" s="132"/>
      <c r="AI33" s="132"/>
      <c r="AJ33" s="132"/>
      <c r="AK33" s="132"/>
      <c r="AL33" s="140">
        <f>SUM(AA33:AD33)</f>
        <v>528.5806327989028</v>
      </c>
      <c r="AM33" s="172"/>
    </row>
    <row r="34" spans="2:39" ht="13.5" x14ac:dyDescent="0.25">
      <c r="B34" s="135" t="s">
        <v>156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>
        <v>48.91245629535517</v>
      </c>
      <c r="AB34" s="132">
        <v>212.17574136055475</v>
      </c>
      <c r="AC34" s="132">
        <v>121.55309720278845</v>
      </c>
      <c r="AD34" s="132">
        <v>145.93933794020435</v>
      </c>
      <c r="AE34" s="132">
        <v>128.06682026919802</v>
      </c>
      <c r="AF34" s="137"/>
      <c r="AG34" s="132"/>
      <c r="AH34" s="132"/>
      <c r="AI34" s="132"/>
      <c r="AJ34" s="132"/>
      <c r="AK34" s="132"/>
      <c r="AL34" s="140">
        <f>SUM(AA34:AD34)</f>
        <v>528.5806327989028</v>
      </c>
      <c r="AM34" s="172"/>
    </row>
    <row r="35" spans="2:39" x14ac:dyDescent="0.25">
      <c r="B35" s="181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163"/>
      <c r="AB35" s="163"/>
      <c r="AC35" s="163"/>
      <c r="AD35" s="163"/>
      <c r="AE35" s="163"/>
      <c r="AF35" s="315"/>
      <c r="AG35" s="314"/>
      <c r="AH35" s="314"/>
      <c r="AI35" s="314"/>
      <c r="AJ35" s="314"/>
      <c r="AK35" s="314"/>
      <c r="AL35" s="316"/>
      <c r="AM35" s="172"/>
    </row>
    <row r="36" spans="2:39" ht="12" thickBot="1" x14ac:dyDescent="0.3">
      <c r="B36" s="147" t="s">
        <v>102</v>
      </c>
      <c r="C36" s="148" t="s">
        <v>92</v>
      </c>
      <c r="D36" s="148" t="s">
        <v>93</v>
      </c>
      <c r="E36" s="148" t="s">
        <v>44</v>
      </c>
      <c r="F36" s="148" t="s">
        <v>45</v>
      </c>
      <c r="G36" s="148" t="s">
        <v>46</v>
      </c>
      <c r="H36" s="148" t="s">
        <v>47</v>
      </c>
      <c r="I36" s="148" t="s">
        <v>48</v>
      </c>
      <c r="J36" s="148" t="s">
        <v>49</v>
      </c>
      <c r="K36" s="148" t="s">
        <v>50</v>
      </c>
      <c r="L36" s="148" t="s">
        <v>51</v>
      </c>
      <c r="M36" s="148" t="s">
        <v>52</v>
      </c>
      <c r="N36" s="148" t="s">
        <v>53</v>
      </c>
      <c r="O36" s="148" t="s">
        <v>54</v>
      </c>
      <c r="P36" s="148" t="s">
        <v>55</v>
      </c>
      <c r="Q36" s="148" t="s">
        <v>54</v>
      </c>
      <c r="R36" s="148" t="s">
        <v>57</v>
      </c>
      <c r="S36" s="148" t="s">
        <v>55</v>
      </c>
      <c r="T36" s="148" t="s">
        <v>57</v>
      </c>
      <c r="U36" s="148" t="s">
        <v>59</v>
      </c>
      <c r="V36" s="148" t="s">
        <v>55</v>
      </c>
      <c r="W36" s="148" t="s">
        <v>59</v>
      </c>
      <c r="X36" s="148" t="s">
        <v>61</v>
      </c>
      <c r="Y36" s="148" t="s">
        <v>55</v>
      </c>
      <c r="Z36" s="148" t="s">
        <v>61</v>
      </c>
      <c r="AA36" s="149" t="s">
        <v>7</v>
      </c>
      <c r="AB36" s="149" t="s">
        <v>63</v>
      </c>
      <c r="AC36" s="149" t="s">
        <v>64</v>
      </c>
      <c r="AD36" s="149" t="s">
        <v>65</v>
      </c>
      <c r="AE36" s="149" t="s">
        <v>6</v>
      </c>
      <c r="AF36" s="150" t="s">
        <v>94</v>
      </c>
      <c r="AG36" s="148" t="s">
        <v>67</v>
      </c>
      <c r="AH36" s="148" t="s">
        <v>68</v>
      </c>
      <c r="AI36" s="148" t="s">
        <v>69</v>
      </c>
      <c r="AJ36" s="148" t="s">
        <v>103</v>
      </c>
      <c r="AK36" s="148" t="s">
        <v>69</v>
      </c>
      <c r="AL36" s="151" t="s">
        <v>71</v>
      </c>
      <c r="AM36" s="172"/>
    </row>
    <row r="37" spans="2:39" x14ac:dyDescent="0.25">
      <c r="B37" s="135" t="s">
        <v>72</v>
      </c>
      <c r="C37" s="132">
        <v>465.07625055541996</v>
      </c>
      <c r="D37" s="132">
        <v>475.35331543277988</v>
      </c>
      <c r="E37" s="132">
        <v>498.96223342899998</v>
      </c>
      <c r="F37" s="132">
        <v>514.35622580829988</v>
      </c>
      <c r="G37" s="132">
        <v>509.89866095772999</v>
      </c>
      <c r="H37" s="132">
        <v>572.29689227422011</v>
      </c>
      <c r="I37" s="132">
        <v>620.84527983817009</v>
      </c>
      <c r="J37" s="132">
        <v>623.67958312334008</v>
      </c>
      <c r="K37" s="132">
        <v>612.41586230885002</v>
      </c>
      <c r="L37" s="132">
        <v>630.18405337290005</v>
      </c>
      <c r="M37" s="154">
        <v>646.36568661871001</v>
      </c>
      <c r="N37" s="132">
        <v>631.09452463958996</v>
      </c>
      <c r="O37" s="132">
        <v>531.03956836375005</v>
      </c>
      <c r="P37" s="132"/>
      <c r="Q37" s="132">
        <f>O37</f>
        <v>531.03956836375005</v>
      </c>
      <c r="R37" s="154">
        <v>563.35789457459998</v>
      </c>
      <c r="S37" s="132"/>
      <c r="T37" s="132">
        <f>R37</f>
        <v>563.35789457459998</v>
      </c>
      <c r="U37" s="132">
        <v>589.10546619346997</v>
      </c>
      <c r="V37" s="132"/>
      <c r="W37" s="154">
        <f>U37</f>
        <v>589.10546619346997</v>
      </c>
      <c r="X37" s="132">
        <v>574.41005867701006</v>
      </c>
      <c r="Y37" s="132"/>
      <c r="Z37" s="154">
        <f>X37</f>
        <v>574.41005867701006</v>
      </c>
      <c r="AA37" s="132">
        <v>517.51879775032</v>
      </c>
      <c r="AB37" s="132">
        <v>476.52092871727996</v>
      </c>
      <c r="AC37" s="132">
        <v>488.23662073740991</v>
      </c>
      <c r="AD37" s="132">
        <v>487.80454960040009</v>
      </c>
      <c r="AE37" s="132">
        <v>470.38114662974999</v>
      </c>
      <c r="AF37" s="137">
        <f>SUM(C37:F37)</f>
        <v>1953.7480252254995</v>
      </c>
      <c r="AG37" s="132">
        <f>SUM(G37:J37)</f>
        <v>2326.7204161934606</v>
      </c>
      <c r="AH37" s="152">
        <f>SUM(K37:N37)</f>
        <v>2520.0601269400504</v>
      </c>
      <c r="AI37" s="152">
        <f>SUM(O37,R37,U37,X37)</f>
        <v>2257.9129878088302</v>
      </c>
      <c r="AJ37" s="152"/>
      <c r="AK37" s="152">
        <f>AI37</f>
        <v>2257.9129878088302</v>
      </c>
      <c r="AL37" s="330">
        <f>SUM(AA37:AD37)</f>
        <v>1970.08089680541</v>
      </c>
      <c r="AM37" s="172"/>
    </row>
    <row r="38" spans="2:39" x14ac:dyDescent="0.25">
      <c r="B38" s="135" t="s">
        <v>73</v>
      </c>
      <c r="C38" s="132">
        <v>464.92407143029004</v>
      </c>
      <c r="D38" s="132">
        <v>475.20586349600001</v>
      </c>
      <c r="E38" s="132">
        <v>498.83546025444008</v>
      </c>
      <c r="F38" s="132">
        <v>514.21695732836986</v>
      </c>
      <c r="G38" s="132">
        <v>509.77652647631993</v>
      </c>
      <c r="H38" s="132">
        <v>571.93125999826998</v>
      </c>
      <c r="I38" s="132">
        <v>620.13560363373995</v>
      </c>
      <c r="J38" s="132">
        <v>621.33385711670007</v>
      </c>
      <c r="K38" s="132">
        <v>611.82245803514991</v>
      </c>
      <c r="L38" s="132">
        <v>629.37523346669991</v>
      </c>
      <c r="M38" s="132">
        <v>645.48007972849996</v>
      </c>
      <c r="N38" s="132">
        <v>630.07777860818999</v>
      </c>
      <c r="O38" s="132">
        <v>530.82455767373006</v>
      </c>
      <c r="P38" s="132"/>
      <c r="Q38" s="132">
        <f t="shared" ref="Q38:Q43" si="18">O38</f>
        <v>530.82455767373006</v>
      </c>
      <c r="R38" s="132">
        <v>562.96376067771996</v>
      </c>
      <c r="S38" s="132"/>
      <c r="T38" s="132">
        <f t="shared" ref="T38:T43" si="19">R38</f>
        <v>562.96376067771996</v>
      </c>
      <c r="U38" s="132">
        <v>588.83212757990987</v>
      </c>
      <c r="V38" s="132"/>
      <c r="W38" s="132">
        <f t="shared" ref="W38:W43" si="20">U38</f>
        <v>588.83212757990987</v>
      </c>
      <c r="X38" s="132">
        <v>569.32953204346006</v>
      </c>
      <c r="Y38" s="132"/>
      <c r="Z38" s="132">
        <f t="shared" ref="Z38:Z43" si="21">X38</f>
        <v>569.32953204346006</v>
      </c>
      <c r="AA38" s="132">
        <v>514.98361833771003</v>
      </c>
      <c r="AB38" s="132">
        <v>476.32045840803005</v>
      </c>
      <c r="AC38" s="132">
        <v>488.04836605255991</v>
      </c>
      <c r="AD38" s="132">
        <v>487.42585050416005</v>
      </c>
      <c r="AE38" s="132">
        <v>470.32311553104006</v>
      </c>
      <c r="AF38" s="137">
        <f>SUM(C38:F38)</f>
        <v>1953.1823525090999</v>
      </c>
      <c r="AG38" s="132">
        <f>SUM(G38:J38)</f>
        <v>2323.17724722503</v>
      </c>
      <c r="AH38" s="132">
        <f>SUM(K38:N38)</f>
        <v>2516.75554983854</v>
      </c>
      <c r="AI38" s="132">
        <f>SUM(O38,R38,U38,X38)</f>
        <v>2251.9499779748198</v>
      </c>
      <c r="AJ38" s="132"/>
      <c r="AK38" s="132">
        <f t="shared" ref="AK38:AK40" si="22">AI38</f>
        <v>2251.9499779748198</v>
      </c>
      <c r="AL38" s="140">
        <f>SUM(AA38:AD38)</f>
        <v>1966.77829330246</v>
      </c>
      <c r="AM38" s="172"/>
    </row>
    <row r="39" spans="2:39" x14ac:dyDescent="0.25">
      <c r="B39" s="285" t="s">
        <v>123</v>
      </c>
      <c r="C39" s="154">
        <v>103.40148628063001</v>
      </c>
      <c r="D39" s="154">
        <v>108.71096602042</v>
      </c>
      <c r="E39" s="154">
        <v>113.99238497867</v>
      </c>
      <c r="F39" s="154">
        <v>126.05498585955999</v>
      </c>
      <c r="G39" s="154">
        <v>134.16739571951999</v>
      </c>
      <c r="H39" s="154">
        <v>139.38836008944998</v>
      </c>
      <c r="I39" s="154">
        <v>149.38117471827002</v>
      </c>
      <c r="J39" s="154">
        <v>162.12255471118999</v>
      </c>
      <c r="K39" s="154">
        <v>186.304966721</v>
      </c>
      <c r="L39" s="154">
        <v>213.46524757429998</v>
      </c>
      <c r="M39" s="154">
        <v>225.38470678921001</v>
      </c>
      <c r="N39" s="154">
        <v>246.51489673704998</v>
      </c>
      <c r="O39" s="154">
        <v>235.54354798734002</v>
      </c>
      <c r="P39" s="154"/>
      <c r="Q39" s="154">
        <f t="shared" si="18"/>
        <v>235.54354798734002</v>
      </c>
      <c r="R39" s="154">
        <v>255.42254164552003</v>
      </c>
      <c r="S39" s="154"/>
      <c r="T39" s="154">
        <f t="shared" si="19"/>
        <v>255.42254164552003</v>
      </c>
      <c r="U39" s="154">
        <v>271.13810741518</v>
      </c>
      <c r="V39" s="154"/>
      <c r="W39" s="154">
        <f t="shared" si="20"/>
        <v>271.13810741518</v>
      </c>
      <c r="X39" s="154">
        <v>297.51183852912999</v>
      </c>
      <c r="Y39" s="154"/>
      <c r="Z39" s="154">
        <f t="shared" si="21"/>
        <v>297.51183852912999</v>
      </c>
      <c r="AA39" s="154">
        <v>298.09279781242998</v>
      </c>
      <c r="AB39" s="154">
        <v>253.92076032314</v>
      </c>
      <c r="AC39" s="154">
        <v>265.95436847003998</v>
      </c>
      <c r="AD39" s="154">
        <v>296.08065182030998</v>
      </c>
      <c r="AE39" s="154">
        <v>301.46956468039002</v>
      </c>
      <c r="AF39" s="137">
        <f>SUM(C39:F39)</f>
        <v>452.15982313927998</v>
      </c>
      <c r="AG39" s="154">
        <f>SUM(G39:J39)</f>
        <v>585.05948523842994</v>
      </c>
      <c r="AH39" s="132">
        <f>SUM(K39:N39)</f>
        <v>871.66981782155995</v>
      </c>
      <c r="AI39" s="132">
        <f>SUM(O39,R39,U39,X39)</f>
        <v>1059.6160355771701</v>
      </c>
      <c r="AJ39" s="132"/>
      <c r="AK39" s="132">
        <f t="shared" si="22"/>
        <v>1059.6160355771701</v>
      </c>
      <c r="AL39" s="140">
        <f>SUM(AA39:AD39)</f>
        <v>1114.0485784259199</v>
      </c>
      <c r="AM39" s="172"/>
    </row>
    <row r="40" spans="2:39" x14ac:dyDescent="0.25">
      <c r="B40" s="135" t="s">
        <v>107</v>
      </c>
      <c r="C40" s="318">
        <f t="shared" ref="C40:O40" si="23">C17</f>
        <v>9.496219</v>
      </c>
      <c r="D40" s="318">
        <f t="shared" si="23"/>
        <v>9.3072049999999997</v>
      </c>
      <c r="E40" s="318">
        <f t="shared" si="23"/>
        <v>9.5511569999999999</v>
      </c>
      <c r="F40" s="318">
        <f t="shared" si="23"/>
        <v>9.5065030000000004</v>
      </c>
      <c r="G40" s="318">
        <f t="shared" si="23"/>
        <v>9.5449789999999997</v>
      </c>
      <c r="H40" s="318">
        <f t="shared" si="23"/>
        <v>9.5761409999999998</v>
      </c>
      <c r="I40" s="318">
        <f t="shared" si="23"/>
        <v>9.5401450000000008</v>
      </c>
      <c r="J40" s="318">
        <f t="shared" si="23"/>
        <v>9.6900220000000008</v>
      </c>
      <c r="K40" s="318">
        <f t="shared" si="23"/>
        <v>9.5849989999999998</v>
      </c>
      <c r="L40" s="318">
        <f t="shared" si="23"/>
        <v>9.2801690000000008</v>
      </c>
      <c r="M40" s="318">
        <f t="shared" si="23"/>
        <v>9.095542</v>
      </c>
      <c r="N40" s="318">
        <f t="shared" si="23"/>
        <v>9.1091800000000003</v>
      </c>
      <c r="O40" s="318">
        <f t="shared" si="23"/>
        <v>8.9868220000000001</v>
      </c>
      <c r="P40" s="318"/>
      <c r="Q40" s="132">
        <f t="shared" si="18"/>
        <v>8.9868220000000001</v>
      </c>
      <c r="R40" s="318">
        <f t="shared" ref="R40" si="24">R17</f>
        <v>8.6691990000000008</v>
      </c>
      <c r="S40" s="318"/>
      <c r="T40" s="132">
        <f t="shared" si="19"/>
        <v>8.6691990000000008</v>
      </c>
      <c r="U40" s="318">
        <f t="shared" ref="U40" si="25">U17</f>
        <v>8.3771229999999992</v>
      </c>
      <c r="V40" s="318"/>
      <c r="W40" s="132">
        <f t="shared" si="20"/>
        <v>8.3771229999999992</v>
      </c>
      <c r="X40" s="318">
        <f t="shared" ref="X40" si="26">X17</f>
        <v>8.1383960000000002</v>
      </c>
      <c r="Y40" s="318"/>
      <c r="Z40" s="132">
        <f t="shared" si="21"/>
        <v>8.1383960000000002</v>
      </c>
      <c r="AA40" s="318">
        <f t="shared" ref="AA40:AE40" si="27">AA17</f>
        <v>7.745806</v>
      </c>
      <c r="AB40" s="318">
        <f t="shared" si="27"/>
        <v>7.0913019999999998</v>
      </c>
      <c r="AC40" s="318">
        <f t="shared" si="27"/>
        <v>6.8313410000000001</v>
      </c>
      <c r="AD40" s="318">
        <f t="shared" si="27"/>
        <v>6.8082320000000003</v>
      </c>
      <c r="AE40" s="318">
        <f t="shared" si="27"/>
        <v>6.770397</v>
      </c>
      <c r="AF40" s="317">
        <f>F40</f>
        <v>9.5065030000000004</v>
      </c>
      <c r="AG40" s="318">
        <f>J40</f>
        <v>9.6900220000000008</v>
      </c>
      <c r="AH40" s="318">
        <f>N40</f>
        <v>9.1091800000000003</v>
      </c>
      <c r="AI40" s="318">
        <f>X40</f>
        <v>8.1383960000000002</v>
      </c>
      <c r="AJ40" s="318"/>
      <c r="AK40" s="318">
        <f t="shared" si="22"/>
        <v>8.1383960000000002</v>
      </c>
      <c r="AL40" s="331">
        <f>AD40</f>
        <v>6.8082320000000003</v>
      </c>
      <c r="AM40" s="172"/>
    </row>
    <row r="41" spans="2:39" x14ac:dyDescent="0.25">
      <c r="B41" s="135" t="s">
        <v>151</v>
      </c>
      <c r="C41" s="132">
        <v>15876.767325812469</v>
      </c>
      <c r="D41" s="132">
        <v>16719.891854847643</v>
      </c>
      <c r="E41" s="132">
        <v>17526.520672996587</v>
      </c>
      <c r="F41" s="132">
        <v>17924.839325248049</v>
      </c>
      <c r="G41" s="132">
        <v>17766.717016410938</v>
      </c>
      <c r="H41" s="132">
        <v>19847.428720639098</v>
      </c>
      <c r="I41" s="132">
        <v>21483.929774344939</v>
      </c>
      <c r="J41" s="132">
        <v>21671.655866790275</v>
      </c>
      <c r="K41" s="132">
        <v>21152.465017734266</v>
      </c>
      <c r="L41" s="132">
        <v>22017.683810819319</v>
      </c>
      <c r="M41" s="132">
        <v>23257.334630106376</v>
      </c>
      <c r="N41" s="132">
        <v>22916.575085791108</v>
      </c>
      <c r="O41" s="132">
        <v>19446.283084968345</v>
      </c>
      <c r="P41" s="132"/>
      <c r="Q41" s="132">
        <f t="shared" si="18"/>
        <v>19446.283084968345</v>
      </c>
      <c r="R41" s="132">
        <v>20873.25743659382</v>
      </c>
      <c r="S41" s="132"/>
      <c r="T41" s="132">
        <f t="shared" si="19"/>
        <v>20873.25743659382</v>
      </c>
      <c r="U41" s="132">
        <v>22463.256002654805</v>
      </c>
      <c r="V41" s="132"/>
      <c r="W41" s="132">
        <f t="shared" si="20"/>
        <v>22463.256002654805</v>
      </c>
      <c r="X41" s="132">
        <v>22547.032396712046</v>
      </c>
      <c r="Y41" s="132"/>
      <c r="Z41" s="132">
        <f t="shared" si="21"/>
        <v>22547.032396712046</v>
      </c>
      <c r="AA41" s="132">
        <v>21573.322232652295</v>
      </c>
      <c r="AB41" s="132">
        <v>21282.260517228828</v>
      </c>
      <c r="AC41" s="132">
        <v>23087.35718516089</v>
      </c>
      <c r="AD41" s="132">
        <v>23531.310464011349</v>
      </c>
      <c r="AE41" s="132">
        <v>22850.415542202387</v>
      </c>
      <c r="AF41" s="317" t="str">
        <f t="shared" ref="AF41:AI43" si="28">AF18</f>
        <v>n.a.</v>
      </c>
      <c r="AG41" s="132" t="str">
        <f t="shared" si="28"/>
        <v>n.a.</v>
      </c>
      <c r="AH41" s="132" t="str">
        <f t="shared" si="28"/>
        <v>n.a.</v>
      </c>
      <c r="AI41" s="132" t="str">
        <f t="shared" si="28"/>
        <v>n.a.</v>
      </c>
      <c r="AJ41" s="132"/>
      <c r="AK41" s="132" t="str">
        <f t="shared" ref="AK41:AL43" si="29">AK18</f>
        <v>n.a.</v>
      </c>
      <c r="AL41" s="132" t="str">
        <f t="shared" si="29"/>
        <v>n.a.</v>
      </c>
      <c r="AM41" s="172"/>
    </row>
    <row r="42" spans="2:39" x14ac:dyDescent="0.25">
      <c r="B42" s="135" t="s">
        <v>135</v>
      </c>
      <c r="C42" s="332">
        <f t="shared" ref="C42:O43" si="30">C19</f>
        <v>481.94853227379599</v>
      </c>
      <c r="D42" s="332">
        <f t="shared" si="30"/>
        <v>534.74134083473314</v>
      </c>
      <c r="E42" s="332">
        <f t="shared" si="30"/>
        <v>580.41145447313295</v>
      </c>
      <c r="F42" s="332">
        <f t="shared" si="30"/>
        <v>567.99547949394275</v>
      </c>
      <c r="G42" s="332">
        <f t="shared" si="30"/>
        <v>544.90635595753997</v>
      </c>
      <c r="H42" s="332">
        <f t="shared" si="30"/>
        <v>578.21407711944687</v>
      </c>
      <c r="I42" s="332">
        <f t="shared" si="30"/>
        <v>581.16510955464184</v>
      </c>
      <c r="J42" s="332">
        <f t="shared" si="30"/>
        <v>574.12056597900232</v>
      </c>
      <c r="K42" s="332">
        <f t="shared" si="30"/>
        <v>545.67958514170584</v>
      </c>
      <c r="L42" s="332">
        <f t="shared" si="30"/>
        <v>567.88737800621755</v>
      </c>
      <c r="M42" s="332">
        <f t="shared" si="30"/>
        <v>596.17076132181944</v>
      </c>
      <c r="N42" s="332">
        <f t="shared" si="30"/>
        <v>608.2388003789456</v>
      </c>
      <c r="O42" s="332">
        <f t="shared" si="30"/>
        <v>575.84621896040176</v>
      </c>
      <c r="P42" s="332"/>
      <c r="Q42" s="132">
        <f t="shared" si="18"/>
        <v>575.84621896040176</v>
      </c>
      <c r="R42" s="332">
        <f t="shared" ref="R42:R43" si="31">R19</f>
        <v>615.83145744635215</v>
      </c>
      <c r="S42" s="332"/>
      <c r="T42" s="132">
        <f t="shared" si="19"/>
        <v>615.83145744635215</v>
      </c>
      <c r="U42" s="332">
        <f>U19</f>
        <v>627.10518773558294</v>
      </c>
      <c r="V42" s="332"/>
      <c r="W42" s="132">
        <f t="shared" si="20"/>
        <v>627.10518773558294</v>
      </c>
      <c r="X42" s="332">
        <f>X19</f>
        <v>608.77572704930833</v>
      </c>
      <c r="Y42" s="332"/>
      <c r="Z42" s="132">
        <f t="shared" si="21"/>
        <v>608.77572704930833</v>
      </c>
      <c r="AA42" s="332">
        <f t="shared" ref="AA42:AE43" si="32">AA19</f>
        <v>598.00353160538168</v>
      </c>
      <c r="AB42" s="332">
        <f t="shared" si="32"/>
        <v>641.68068698397747</v>
      </c>
      <c r="AC42" s="332">
        <f t="shared" si="32"/>
        <v>691.79677958990999</v>
      </c>
      <c r="AD42" s="332">
        <f t="shared" si="32"/>
        <v>674.31067136925765</v>
      </c>
      <c r="AE42" s="332">
        <f t="shared" si="32"/>
        <v>681.04388041679306</v>
      </c>
      <c r="AF42" s="317" t="str">
        <f t="shared" si="28"/>
        <v>n.a.</v>
      </c>
      <c r="AG42" s="332" t="str">
        <f t="shared" si="28"/>
        <v>n.a.</v>
      </c>
      <c r="AH42" s="332" t="str">
        <f t="shared" si="28"/>
        <v>n.a.</v>
      </c>
      <c r="AI42" s="332" t="str">
        <f t="shared" si="28"/>
        <v>n.a.</v>
      </c>
      <c r="AJ42" s="332"/>
      <c r="AK42" s="332" t="str">
        <f t="shared" si="29"/>
        <v>n.a.</v>
      </c>
      <c r="AL42" s="332" t="str">
        <f t="shared" si="29"/>
        <v>n.a.</v>
      </c>
      <c r="AM42" s="172"/>
    </row>
    <row r="43" spans="2:39" x14ac:dyDescent="0.25">
      <c r="B43" s="162" t="s">
        <v>126</v>
      </c>
      <c r="C43" s="160">
        <f t="shared" si="30"/>
        <v>0</v>
      </c>
      <c r="D43" s="160">
        <f t="shared" si="30"/>
        <v>0.12202288264094879</v>
      </c>
      <c r="E43" s="160">
        <f t="shared" si="30"/>
        <v>9.7316829531642252E-2</v>
      </c>
      <c r="F43" s="160">
        <f t="shared" si="30"/>
        <v>0.12466430820992713</v>
      </c>
      <c r="G43" s="160">
        <f t="shared" si="30"/>
        <v>0.1203942034535686</v>
      </c>
      <c r="H43" s="160">
        <f t="shared" si="30"/>
        <v>0.12760204423171864</v>
      </c>
      <c r="I43" s="160">
        <f t="shared" si="30"/>
        <v>0.15169850461538398</v>
      </c>
      <c r="J43" s="160">
        <f t="shared" si="30"/>
        <v>0.14491002600237429</v>
      </c>
      <c r="K43" s="160">
        <f t="shared" si="30"/>
        <v>0.13775777468673056</v>
      </c>
      <c r="L43" s="160">
        <f t="shared" si="30"/>
        <v>0.15753975792847433</v>
      </c>
      <c r="M43" s="160">
        <f t="shared" si="30"/>
        <v>0.15772690373722137</v>
      </c>
      <c r="N43" s="160">
        <f t="shared" si="30"/>
        <v>0.14933784761997465</v>
      </c>
      <c r="O43" s="160">
        <f t="shared" si="30"/>
        <v>0.14187089501868977</v>
      </c>
      <c r="P43" s="160"/>
      <c r="Q43" s="160">
        <f t="shared" si="18"/>
        <v>0.14187089501868977</v>
      </c>
      <c r="R43" s="160">
        <f t="shared" si="31"/>
        <v>0.15945144152241322</v>
      </c>
      <c r="S43" s="160"/>
      <c r="T43" s="160">
        <f t="shared" si="19"/>
        <v>0.15945144152241322</v>
      </c>
      <c r="U43" s="160">
        <f>U20</f>
        <v>0.17239003228966343</v>
      </c>
      <c r="V43" s="160"/>
      <c r="W43" s="160">
        <f t="shared" si="20"/>
        <v>0.17239003228966343</v>
      </c>
      <c r="X43" s="160">
        <f>X20</f>
        <v>0.16752219533639845</v>
      </c>
      <c r="Y43" s="160"/>
      <c r="Z43" s="160">
        <f t="shared" si="21"/>
        <v>0.16752219533639845</v>
      </c>
      <c r="AA43" s="160">
        <f t="shared" si="32"/>
        <v>0.17411916569683514</v>
      </c>
      <c r="AB43" s="160">
        <f t="shared" si="32"/>
        <v>0.19139604738058497</v>
      </c>
      <c r="AC43" s="160">
        <f t="shared" si="32"/>
        <v>0.1538896465817351</v>
      </c>
      <c r="AD43" s="160">
        <f t="shared" si="32"/>
        <v>0.13432709326801892</v>
      </c>
      <c r="AE43" s="160">
        <f t="shared" si="32"/>
        <v>0.13107354368978436</v>
      </c>
      <c r="AF43" s="317" t="str">
        <f t="shared" si="28"/>
        <v>n.a.</v>
      </c>
      <c r="AG43" s="160" t="str">
        <f t="shared" si="28"/>
        <v>n.a.</v>
      </c>
      <c r="AH43" s="160" t="str">
        <f t="shared" si="28"/>
        <v>n.a.</v>
      </c>
      <c r="AI43" s="160" t="str">
        <f t="shared" si="28"/>
        <v>n.a.</v>
      </c>
      <c r="AJ43" s="160"/>
      <c r="AK43" s="160" t="str">
        <f t="shared" si="29"/>
        <v>n.a.</v>
      </c>
      <c r="AL43" s="160" t="str">
        <f t="shared" si="29"/>
        <v>n.a.</v>
      </c>
      <c r="AM43" s="172"/>
    </row>
    <row r="44" spans="2:39" ht="12" thickBot="1" x14ac:dyDescent="0.3">
      <c r="B44" s="147" t="s">
        <v>114</v>
      </c>
      <c r="C44" s="148" t="s">
        <v>92</v>
      </c>
      <c r="D44" s="148" t="s">
        <v>93</v>
      </c>
      <c r="E44" s="148" t="s">
        <v>44</v>
      </c>
      <c r="F44" s="148" t="s">
        <v>45</v>
      </c>
      <c r="G44" s="148" t="s">
        <v>46</v>
      </c>
      <c r="H44" s="148" t="s">
        <v>47</v>
      </c>
      <c r="I44" s="148" t="s">
        <v>48</v>
      </c>
      <c r="J44" s="148" t="s">
        <v>49</v>
      </c>
      <c r="K44" s="148" t="s">
        <v>50</v>
      </c>
      <c r="L44" s="148" t="s">
        <v>51</v>
      </c>
      <c r="M44" s="148" t="s">
        <v>52</v>
      </c>
      <c r="N44" s="148" t="s">
        <v>53</v>
      </c>
      <c r="O44" s="148" t="s">
        <v>54</v>
      </c>
      <c r="P44" s="148" t="s">
        <v>55</v>
      </c>
      <c r="Q44" s="148" t="s">
        <v>54</v>
      </c>
      <c r="R44" s="148" t="s">
        <v>57</v>
      </c>
      <c r="S44" s="148" t="s">
        <v>55</v>
      </c>
      <c r="T44" s="148" t="s">
        <v>57</v>
      </c>
      <c r="U44" s="148" t="s">
        <v>59</v>
      </c>
      <c r="V44" s="148" t="s">
        <v>55</v>
      </c>
      <c r="W44" s="148" t="s">
        <v>59</v>
      </c>
      <c r="X44" s="148" t="s">
        <v>61</v>
      </c>
      <c r="Y44" s="148" t="s">
        <v>55</v>
      </c>
      <c r="Z44" s="148" t="s">
        <v>61</v>
      </c>
      <c r="AA44" s="149" t="s">
        <v>7</v>
      </c>
      <c r="AB44" s="149" t="s">
        <v>63</v>
      </c>
      <c r="AC44" s="149" t="s">
        <v>64</v>
      </c>
      <c r="AD44" s="149" t="s">
        <v>65</v>
      </c>
      <c r="AE44" s="149" t="s">
        <v>6</v>
      </c>
      <c r="AF44" s="150" t="s">
        <v>94</v>
      </c>
      <c r="AG44" s="148" t="s">
        <v>67</v>
      </c>
      <c r="AH44" s="148" t="s">
        <v>68</v>
      </c>
      <c r="AI44" s="148" t="s">
        <v>69</v>
      </c>
      <c r="AJ44" s="148" t="s">
        <v>103</v>
      </c>
      <c r="AK44" s="148" t="s">
        <v>69</v>
      </c>
      <c r="AL44" s="151" t="s">
        <v>71</v>
      </c>
      <c r="AM44" s="172"/>
    </row>
    <row r="45" spans="2:39" x14ac:dyDescent="0.25">
      <c r="B45" s="135" t="s">
        <v>72</v>
      </c>
      <c r="C45" s="320">
        <v>3.5240922148900005</v>
      </c>
      <c r="D45" s="320">
        <v>3.2924669015200001</v>
      </c>
      <c r="E45" s="320">
        <v>3.2975613015099992</v>
      </c>
      <c r="F45" s="320">
        <v>3.1796893705699998</v>
      </c>
      <c r="G45" s="320">
        <v>3.4079766792300004</v>
      </c>
      <c r="H45" s="320">
        <v>3.7317558007400002</v>
      </c>
      <c r="I45" s="320">
        <v>3.9309064073800002</v>
      </c>
      <c r="J45" s="320">
        <v>4.0370545213199991</v>
      </c>
      <c r="K45" s="320">
        <v>4.267285854209999</v>
      </c>
      <c r="L45" s="320">
        <v>5.0580251068900006</v>
      </c>
      <c r="M45" s="320">
        <v>4.37610022405</v>
      </c>
      <c r="N45" s="320">
        <v>3.8947049076400004</v>
      </c>
      <c r="O45" s="320">
        <v>3.5676045785800001</v>
      </c>
      <c r="P45" s="320"/>
      <c r="Q45" s="320">
        <f>O45</f>
        <v>3.5676045785800001</v>
      </c>
      <c r="R45" s="320">
        <v>3.4394331673100003</v>
      </c>
      <c r="S45" s="320"/>
      <c r="T45" s="320">
        <f>R45</f>
        <v>3.4394331673100003</v>
      </c>
      <c r="U45" s="320">
        <v>3.1327812739999996</v>
      </c>
      <c r="V45" s="320"/>
      <c r="W45" s="320">
        <f>U45</f>
        <v>3.1327812739999996</v>
      </c>
      <c r="X45" s="320">
        <v>3.3503624392400004</v>
      </c>
      <c r="Y45" s="320"/>
      <c r="Z45" s="320">
        <f>X45</f>
        <v>3.3503624392400004</v>
      </c>
      <c r="AA45" s="320">
        <v>3.1147903208100001</v>
      </c>
      <c r="AB45" s="320">
        <v>2.8867000361100001</v>
      </c>
      <c r="AC45" s="320">
        <v>2.7432737774299998</v>
      </c>
      <c r="AD45" s="320">
        <v>2.7438539393600001</v>
      </c>
      <c r="AE45" s="320">
        <v>2.4632408148400002</v>
      </c>
      <c r="AF45" s="317">
        <f>SUM(C45:F45)</f>
        <v>13.293809788489998</v>
      </c>
      <c r="AG45" s="320">
        <f>SUM(G45:J45)</f>
        <v>15.107693408669999</v>
      </c>
      <c r="AH45" s="325">
        <f>SUM(K45:N45)</f>
        <v>17.596116092790002</v>
      </c>
      <c r="AI45" s="325">
        <f t="shared" ref="AI45:AI46" si="33">SUM(O45,R45,U45,X45)</f>
        <v>13.49018145913</v>
      </c>
      <c r="AJ45" s="325"/>
      <c r="AK45" s="132">
        <f t="shared" ref="AK45:AK46" si="34">AI45</f>
        <v>13.49018145913</v>
      </c>
      <c r="AL45" s="140">
        <f>SUM(AA45:AD45)</f>
        <v>11.488618073710001</v>
      </c>
      <c r="AM45" s="172"/>
    </row>
    <row r="46" spans="2:39" ht="12" thickBot="1" x14ac:dyDescent="0.3">
      <c r="B46" s="247" t="s">
        <v>73</v>
      </c>
      <c r="C46" s="327">
        <v>3.4996674813799999</v>
      </c>
      <c r="D46" s="327">
        <v>3.2835499350100004</v>
      </c>
      <c r="E46" s="327">
        <v>3.2883705800899996</v>
      </c>
      <c r="F46" s="327">
        <v>3.1691854161099999</v>
      </c>
      <c r="G46" s="327">
        <v>3.3967146954300005</v>
      </c>
      <c r="H46" s="327">
        <v>3.7192684241900005</v>
      </c>
      <c r="I46" s="327">
        <v>3.9169173718800003</v>
      </c>
      <c r="J46" s="327">
        <v>4.0026006812199997</v>
      </c>
      <c r="K46" s="327">
        <v>4.2158094264099999</v>
      </c>
      <c r="L46" s="327">
        <v>5.0065019901900003</v>
      </c>
      <c r="M46" s="327">
        <v>4.32446782368</v>
      </c>
      <c r="N46" s="327">
        <v>3.84366058631</v>
      </c>
      <c r="O46" s="327">
        <v>3.5377504160799997</v>
      </c>
      <c r="P46" s="327"/>
      <c r="Q46" s="327">
        <f>O46</f>
        <v>3.5377504160799997</v>
      </c>
      <c r="R46" s="327">
        <v>3.4094081630100002</v>
      </c>
      <c r="S46" s="327"/>
      <c r="T46" s="327">
        <f>R46</f>
        <v>3.4094081630100002</v>
      </c>
      <c r="U46" s="327">
        <v>3.1021703218999996</v>
      </c>
      <c r="V46" s="327"/>
      <c r="W46" s="327">
        <f>U46</f>
        <v>3.1021703218999996</v>
      </c>
      <c r="X46" s="327">
        <v>3.18002101631</v>
      </c>
      <c r="Y46" s="327"/>
      <c r="Z46" s="327">
        <f>X46</f>
        <v>3.18002101631</v>
      </c>
      <c r="AA46" s="327">
        <v>3.1257932962099999</v>
      </c>
      <c r="AB46" s="327">
        <v>2.8756970607099999</v>
      </c>
      <c r="AC46" s="327">
        <v>2.7432737774299998</v>
      </c>
      <c r="AD46" s="327">
        <v>2.7438539393600001</v>
      </c>
      <c r="AE46" s="327">
        <v>2.4632408148400002</v>
      </c>
      <c r="AF46" s="328">
        <f>SUM(C46:F46)</f>
        <v>13.24077341259</v>
      </c>
      <c r="AG46" s="327">
        <f>SUM(G46:J46)</f>
        <v>15.03550117272</v>
      </c>
      <c r="AH46" s="327">
        <f>SUM(K46:N46)</f>
        <v>17.390439826590001</v>
      </c>
      <c r="AI46" s="327">
        <f t="shared" si="33"/>
        <v>13.2293499173</v>
      </c>
      <c r="AJ46" s="327"/>
      <c r="AK46" s="333">
        <f t="shared" si="34"/>
        <v>13.2293499173</v>
      </c>
      <c r="AL46" s="333">
        <f>SUM(AA46:AD46)</f>
        <v>11.488618073710001</v>
      </c>
      <c r="AM46" s="172"/>
    </row>
    <row r="47" spans="2:39" x14ac:dyDescent="0.25"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34"/>
      <c r="AG47" s="320"/>
      <c r="AH47" s="320"/>
      <c r="AI47" s="320"/>
      <c r="AJ47" s="320"/>
      <c r="AK47" s="335"/>
      <c r="AL47" s="335"/>
      <c r="AM47" s="172"/>
    </row>
    <row r="48" spans="2:39" ht="12" thickBot="1" x14ac:dyDescent="0.3">
      <c r="B48" s="187" t="s">
        <v>130</v>
      </c>
      <c r="C48" s="233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G48" s="235"/>
      <c r="AH48" s="235"/>
      <c r="AI48" s="235"/>
      <c r="AJ48" s="235"/>
      <c r="AK48" s="235"/>
      <c r="AL48" s="235"/>
      <c r="AM48" s="172"/>
    </row>
    <row r="49" spans="1:39" x14ac:dyDescent="0.25">
      <c r="B49" s="265" t="s">
        <v>131</v>
      </c>
      <c r="C49" s="192">
        <v>0</v>
      </c>
      <c r="D49" s="192">
        <v>7.5799999999999999E-3</v>
      </c>
      <c r="E49" s="192">
        <v>2.2700000000000001E-2</v>
      </c>
      <c r="F49" s="192">
        <v>2.2700000000000001E-2</v>
      </c>
      <c r="G49" s="192">
        <v>0.08</v>
      </c>
      <c r="H49" s="192">
        <v>0.08</v>
      </c>
      <c r="I49" s="192">
        <v>0.23</v>
      </c>
      <c r="J49" s="192">
        <v>0.23</v>
      </c>
      <c r="K49" s="192">
        <v>0.23</v>
      </c>
      <c r="L49" s="192">
        <v>0.245</v>
      </c>
      <c r="M49" s="192">
        <v>0.245</v>
      </c>
      <c r="N49" s="192">
        <v>0.245</v>
      </c>
      <c r="O49" s="192">
        <v>0.245</v>
      </c>
      <c r="P49" s="267"/>
      <c r="Q49" s="267"/>
      <c r="R49" s="192">
        <v>0.245</v>
      </c>
      <c r="S49" s="267"/>
      <c r="T49" s="267"/>
      <c r="U49" s="192">
        <v>0.26</v>
      </c>
      <c r="V49" s="267"/>
      <c r="W49" s="267"/>
      <c r="X49" s="192">
        <v>0.26</v>
      </c>
      <c r="Y49" s="267"/>
      <c r="Z49" s="267"/>
      <c r="AA49" s="192">
        <v>0.26</v>
      </c>
      <c r="AB49" s="192">
        <v>0.34</v>
      </c>
      <c r="AC49" s="192">
        <v>0.47</v>
      </c>
      <c r="AD49" s="192">
        <v>0.52</v>
      </c>
      <c r="AE49" s="192">
        <v>0.6</v>
      </c>
      <c r="AF49" s="236" t="s">
        <v>110</v>
      </c>
      <c r="AG49" s="269" t="s">
        <v>110</v>
      </c>
      <c r="AH49" s="269" t="s">
        <v>110</v>
      </c>
      <c r="AI49" s="269" t="s">
        <v>110</v>
      </c>
      <c r="AJ49" s="269"/>
      <c r="AK49" s="269" t="s">
        <v>110</v>
      </c>
      <c r="AL49" s="344">
        <v>0.6</v>
      </c>
      <c r="AM49" s="172"/>
    </row>
    <row r="50" spans="1:39" s="141" customFormat="1" ht="12" thickBot="1" x14ac:dyDescent="0.3">
      <c r="A50" s="237"/>
      <c r="B50" s="237" t="s">
        <v>138</v>
      </c>
      <c r="C50" s="238">
        <v>0</v>
      </c>
      <c r="D50" s="238">
        <v>0</v>
      </c>
      <c r="E50" s="238">
        <v>0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0.2718342479688593</v>
      </c>
      <c r="P50" s="211"/>
      <c r="Q50" s="211"/>
      <c r="R50" s="238">
        <v>0.2950971594953582</v>
      </c>
      <c r="S50" s="211"/>
      <c r="T50" s="211"/>
      <c r="U50" s="238">
        <v>0.31643691993062534</v>
      </c>
      <c r="V50" s="211"/>
      <c r="W50" s="211"/>
      <c r="X50" s="238">
        <v>0.34346632923735831</v>
      </c>
      <c r="Y50" s="211"/>
      <c r="Z50" s="211"/>
      <c r="AA50" s="238">
        <v>0.36664512382571934</v>
      </c>
      <c r="AB50" s="238">
        <v>0.38750584871438276</v>
      </c>
      <c r="AC50" s="238">
        <v>0.42844852862710264</v>
      </c>
      <c r="AD50" s="238">
        <v>0.45755359100571191</v>
      </c>
      <c r="AE50" s="270">
        <v>0.50106928736970668</v>
      </c>
      <c r="AF50" s="213"/>
      <c r="AG50" s="213"/>
      <c r="AH50" s="213" t="s">
        <v>110</v>
      </c>
      <c r="AI50" s="213" t="s">
        <v>110</v>
      </c>
      <c r="AJ50" s="213"/>
      <c r="AK50" s="213" t="s">
        <v>110</v>
      </c>
      <c r="AL50" s="345">
        <v>0.50106928736970668</v>
      </c>
    </row>
    <row r="51" spans="1:39" ht="12" thickTop="1" x14ac:dyDescent="0.25"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57"/>
      <c r="Q51" s="157"/>
      <c r="R51" s="160"/>
      <c r="S51" s="157"/>
      <c r="T51" s="157"/>
      <c r="U51" s="160"/>
      <c r="V51" s="157"/>
      <c r="W51" s="157"/>
      <c r="X51" s="160"/>
      <c r="Y51" s="157"/>
      <c r="Z51" s="157"/>
      <c r="AA51" s="160"/>
      <c r="AB51" s="160"/>
      <c r="AC51" s="160"/>
      <c r="AD51" s="160"/>
      <c r="AE51" s="160"/>
      <c r="AF51" s="143"/>
      <c r="AG51" s="143"/>
      <c r="AH51" s="143"/>
      <c r="AI51" s="143"/>
      <c r="AJ51" s="143"/>
      <c r="AK51" s="143"/>
      <c r="AL51" s="143"/>
      <c r="AM51" s="172"/>
    </row>
    <row r="52" spans="1:39" x14ac:dyDescent="0.25"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57"/>
      <c r="Q52" s="157"/>
      <c r="R52" s="160"/>
      <c r="S52" s="157"/>
      <c r="T52" s="157"/>
      <c r="U52" s="160"/>
      <c r="V52" s="157"/>
      <c r="W52" s="157"/>
      <c r="X52" s="160"/>
      <c r="Y52" s="157"/>
      <c r="Z52" s="157"/>
      <c r="AA52" s="160"/>
      <c r="AB52" s="160"/>
      <c r="AC52" s="160"/>
      <c r="AD52" s="160"/>
      <c r="AE52" s="160"/>
      <c r="AF52" s="143"/>
      <c r="AG52" s="143"/>
      <c r="AH52" s="143"/>
      <c r="AI52" s="143"/>
      <c r="AJ52" s="143"/>
      <c r="AK52" s="143"/>
      <c r="AL52" s="143"/>
      <c r="AM52" s="172"/>
    </row>
    <row r="53" spans="1:39" ht="25" x14ac:dyDescent="0.25">
      <c r="B53" s="76" t="s">
        <v>157</v>
      </c>
      <c r="Q53" s="82"/>
      <c r="T53" s="82"/>
      <c r="W53" s="82"/>
      <c r="Z53" s="82"/>
    </row>
    <row r="54" spans="1:39" x14ac:dyDescent="0.25">
      <c r="B54" s="82" t="s">
        <v>133</v>
      </c>
      <c r="Q54" s="82"/>
      <c r="T54" s="82"/>
      <c r="W54" s="82"/>
      <c r="Z54" s="82"/>
    </row>
    <row r="55" spans="1:39" x14ac:dyDescent="0.25">
      <c r="Q55" s="82"/>
      <c r="T55" s="82"/>
      <c r="W55" s="82"/>
      <c r="Z55" s="82"/>
    </row>
    <row r="56" spans="1:39" x14ac:dyDescent="0.25">
      <c r="Q56" s="82"/>
      <c r="T56" s="82"/>
      <c r="W56" s="82"/>
      <c r="Z56" s="82"/>
    </row>
    <row r="57" spans="1:39" x14ac:dyDescent="0.25">
      <c r="Q57" s="82"/>
      <c r="T57" s="82"/>
      <c r="W57" s="82"/>
      <c r="Z57" s="82"/>
    </row>
    <row r="58" spans="1:39" x14ac:dyDescent="0.25">
      <c r="Q58" s="82"/>
      <c r="T58" s="82"/>
      <c r="W58" s="82"/>
      <c r="Z58" s="82"/>
    </row>
    <row r="59" spans="1:39" x14ac:dyDescent="0.25">
      <c r="Q59" s="82"/>
      <c r="T59" s="82"/>
      <c r="W59" s="82"/>
      <c r="Z59" s="82"/>
    </row>
    <row r="60" spans="1:39" x14ac:dyDescent="0.25">
      <c r="Q60" s="82"/>
      <c r="T60" s="82"/>
      <c r="W60" s="82"/>
      <c r="Z60" s="82"/>
    </row>
    <row r="61" spans="1:39" x14ac:dyDescent="0.25">
      <c r="Q61" s="82"/>
      <c r="T61" s="82"/>
      <c r="W61" s="82"/>
      <c r="Z61" s="82"/>
    </row>
    <row r="62" spans="1:39" x14ac:dyDescent="0.25">
      <c r="Q62" s="82"/>
      <c r="T62" s="82"/>
      <c r="W62" s="82"/>
      <c r="Z62" s="82"/>
    </row>
    <row r="63" spans="1:39" x14ac:dyDescent="0.25">
      <c r="Q63" s="82"/>
      <c r="T63" s="82"/>
      <c r="W63" s="82"/>
      <c r="Z63" s="82"/>
    </row>
    <row r="64" spans="1:39" x14ac:dyDescent="0.25">
      <c r="Q64" s="82"/>
      <c r="T64" s="82"/>
      <c r="W64" s="82"/>
      <c r="Z64" s="82"/>
    </row>
    <row r="65" spans="17:26" x14ac:dyDescent="0.25">
      <c r="Q65" s="82"/>
      <c r="T65" s="82"/>
      <c r="W65" s="82"/>
      <c r="Z65" s="82"/>
    </row>
    <row r="66" spans="17:26" x14ac:dyDescent="0.25">
      <c r="Q66" s="82"/>
      <c r="T66" s="82"/>
      <c r="W66" s="82"/>
      <c r="Z66" s="82"/>
    </row>
    <row r="67" spans="17:26" x14ac:dyDescent="0.25">
      <c r="Q67" s="82"/>
      <c r="T67" s="82"/>
      <c r="W67" s="82"/>
      <c r="Z67" s="82"/>
    </row>
    <row r="68" spans="17:26" x14ac:dyDescent="0.25">
      <c r="Q68" s="82"/>
      <c r="T68" s="82"/>
      <c r="W68" s="82"/>
      <c r="Z68" s="82"/>
    </row>
    <row r="69" spans="17:26" x14ac:dyDescent="0.25">
      <c r="Q69" s="82"/>
      <c r="T69" s="82"/>
      <c r="W69" s="82"/>
      <c r="Z69" s="82"/>
    </row>
    <row r="70" spans="17:26" x14ac:dyDescent="0.25">
      <c r="Q70" s="82"/>
      <c r="T70" s="82"/>
      <c r="W70" s="82"/>
      <c r="Z70" s="82"/>
    </row>
    <row r="71" spans="17:26" x14ac:dyDescent="0.25">
      <c r="Q71" s="82"/>
      <c r="T71" s="82"/>
      <c r="W71" s="82"/>
      <c r="Z71" s="82"/>
    </row>
    <row r="72" spans="17:26" x14ac:dyDescent="0.25">
      <c r="Q72" s="82"/>
      <c r="T72" s="82"/>
      <c r="W72" s="82"/>
      <c r="Z72" s="82"/>
    </row>
    <row r="73" spans="17:26" x14ac:dyDescent="0.25">
      <c r="Q73" s="82"/>
      <c r="T73" s="82"/>
      <c r="W73" s="82"/>
      <c r="Z73" s="82"/>
    </row>
    <row r="74" spans="17:26" x14ac:dyDescent="0.25">
      <c r="Q74" s="82"/>
      <c r="T74" s="82"/>
      <c r="W74" s="82"/>
      <c r="Z74" s="82"/>
    </row>
    <row r="75" spans="17:26" x14ac:dyDescent="0.25">
      <c r="Q75" s="82"/>
      <c r="T75" s="82"/>
      <c r="W75" s="82"/>
      <c r="Z75" s="82"/>
    </row>
    <row r="76" spans="17:26" x14ac:dyDescent="0.25">
      <c r="Q76" s="82"/>
      <c r="T76" s="82"/>
      <c r="W76" s="82"/>
      <c r="Z76" s="82"/>
    </row>
    <row r="77" spans="17:26" x14ac:dyDescent="0.25">
      <c r="Q77" s="82"/>
      <c r="T77" s="82"/>
      <c r="W77" s="82"/>
      <c r="Z77" s="82"/>
    </row>
    <row r="78" spans="17:26" x14ac:dyDescent="0.25">
      <c r="Q78" s="82"/>
      <c r="T78" s="82"/>
      <c r="W78" s="82"/>
      <c r="Z78" s="82"/>
    </row>
    <row r="79" spans="17:26" x14ac:dyDescent="0.25">
      <c r="Q79" s="82"/>
      <c r="T79" s="82"/>
      <c r="W79" s="82"/>
      <c r="Z79" s="82"/>
    </row>
    <row r="80" spans="17:26" x14ac:dyDescent="0.25">
      <c r="Q80" s="82"/>
      <c r="T80" s="82"/>
      <c r="W80" s="82"/>
      <c r="Z80" s="82"/>
    </row>
    <row r="81" spans="17:26" x14ac:dyDescent="0.25">
      <c r="Q81" s="82"/>
      <c r="T81" s="82"/>
      <c r="W81" s="82"/>
      <c r="Z81" s="82"/>
    </row>
    <row r="82" spans="17:26" x14ac:dyDescent="0.25">
      <c r="Q82" s="82"/>
      <c r="T82" s="82"/>
      <c r="W82" s="82"/>
      <c r="Z82" s="82"/>
    </row>
    <row r="83" spans="17:26" x14ac:dyDescent="0.25">
      <c r="Q83" s="82"/>
      <c r="T83" s="82"/>
      <c r="W83" s="82"/>
      <c r="Z83" s="82"/>
    </row>
    <row r="84" spans="17:26" x14ac:dyDescent="0.25">
      <c r="Q84" s="82"/>
      <c r="T84" s="82"/>
      <c r="W84" s="82"/>
      <c r="Z84" s="82"/>
    </row>
    <row r="85" spans="17:26" x14ac:dyDescent="0.25">
      <c r="Q85" s="82"/>
      <c r="T85" s="82"/>
      <c r="W85" s="82"/>
      <c r="Z85" s="82"/>
    </row>
    <row r="86" spans="17:26" x14ac:dyDescent="0.25">
      <c r="Q86" s="82"/>
      <c r="T86" s="82"/>
      <c r="W86" s="82"/>
      <c r="Z86" s="82"/>
    </row>
    <row r="87" spans="17:26" x14ac:dyDescent="0.25">
      <c r="Q87" s="82"/>
      <c r="T87" s="82"/>
      <c r="W87" s="82"/>
      <c r="Z87" s="82"/>
    </row>
    <row r="88" spans="17:26" x14ac:dyDescent="0.25">
      <c r="Q88" s="82"/>
      <c r="T88" s="82"/>
      <c r="W88" s="82"/>
      <c r="Z88" s="82"/>
    </row>
    <row r="89" spans="17:26" x14ac:dyDescent="0.25">
      <c r="Q89" s="82"/>
      <c r="T89" s="82"/>
      <c r="W89" s="82"/>
      <c r="Z89" s="82"/>
    </row>
    <row r="90" spans="17:26" x14ac:dyDescent="0.25">
      <c r="Q90" s="82"/>
      <c r="T90" s="82"/>
      <c r="W90" s="82"/>
      <c r="Z90" s="82"/>
    </row>
    <row r="91" spans="17:26" x14ac:dyDescent="0.25">
      <c r="Q91" s="82"/>
      <c r="T91" s="82"/>
      <c r="W91" s="82"/>
      <c r="Z91" s="82"/>
    </row>
    <row r="92" spans="17:26" x14ac:dyDescent="0.25">
      <c r="Q92" s="82"/>
      <c r="T92" s="82"/>
      <c r="W92" s="82"/>
      <c r="Z92" s="82"/>
    </row>
    <row r="93" spans="17:26" x14ac:dyDescent="0.25">
      <c r="Q93" s="82"/>
      <c r="T93" s="82"/>
      <c r="W93" s="82"/>
      <c r="Z93" s="82"/>
    </row>
    <row r="94" spans="17:26" x14ac:dyDescent="0.25">
      <c r="Q94" s="82"/>
      <c r="T94" s="82"/>
      <c r="W94" s="82"/>
      <c r="Z94" s="82"/>
    </row>
    <row r="95" spans="17:26" x14ac:dyDescent="0.25">
      <c r="Q95" s="82"/>
      <c r="T95" s="82"/>
      <c r="W95" s="82"/>
      <c r="Z95" s="82"/>
    </row>
    <row r="96" spans="17:26" x14ac:dyDescent="0.25">
      <c r="Q96" s="82"/>
      <c r="T96" s="82"/>
      <c r="W96" s="82"/>
      <c r="Z96" s="82"/>
    </row>
    <row r="97" spans="17:26" x14ac:dyDescent="0.25">
      <c r="Q97" s="82"/>
      <c r="T97" s="82"/>
      <c r="W97" s="82"/>
      <c r="Z97" s="82"/>
    </row>
    <row r="98" spans="17:26" x14ac:dyDescent="0.25">
      <c r="Q98" s="82"/>
      <c r="T98" s="82"/>
      <c r="W98" s="82"/>
      <c r="Z98" s="82"/>
    </row>
    <row r="99" spans="17:26" x14ac:dyDescent="0.25">
      <c r="Q99" s="82"/>
      <c r="T99" s="82"/>
      <c r="W99" s="82"/>
      <c r="Z99" s="82"/>
    </row>
    <row r="100" spans="17:26" x14ac:dyDescent="0.25">
      <c r="Q100" s="82"/>
      <c r="T100" s="82"/>
      <c r="W100" s="82"/>
      <c r="Z100" s="82"/>
    </row>
    <row r="101" spans="17:26" x14ac:dyDescent="0.25">
      <c r="Q101" s="82"/>
      <c r="T101" s="82"/>
      <c r="W101" s="82"/>
      <c r="Z101" s="82"/>
    </row>
    <row r="102" spans="17:26" x14ac:dyDescent="0.25">
      <c r="Q102" s="82"/>
      <c r="T102" s="82"/>
      <c r="W102" s="82"/>
      <c r="Z102" s="82"/>
    </row>
    <row r="103" spans="17:26" x14ac:dyDescent="0.25">
      <c r="Q103" s="82"/>
      <c r="T103" s="82"/>
      <c r="W103" s="82"/>
      <c r="Z103" s="82"/>
    </row>
    <row r="104" spans="17:26" x14ac:dyDescent="0.25">
      <c r="Q104" s="82"/>
      <c r="T104" s="82"/>
      <c r="W104" s="82"/>
      <c r="Z104" s="82"/>
    </row>
    <row r="105" spans="17:26" x14ac:dyDescent="0.25">
      <c r="Q105" s="82"/>
      <c r="T105" s="82"/>
      <c r="W105" s="82"/>
      <c r="Z105" s="82"/>
    </row>
    <row r="106" spans="17:26" x14ac:dyDescent="0.25">
      <c r="Q106" s="82"/>
      <c r="T106" s="82"/>
      <c r="W106" s="82"/>
      <c r="Z106" s="82"/>
    </row>
    <row r="107" spans="17:26" x14ac:dyDescent="0.25">
      <c r="Q107" s="82"/>
      <c r="T107" s="82"/>
      <c r="W107" s="82"/>
      <c r="Z107" s="82"/>
    </row>
    <row r="108" spans="17:26" x14ac:dyDescent="0.25">
      <c r="Q108" s="82"/>
      <c r="T108" s="82"/>
      <c r="W108" s="82"/>
      <c r="Z108" s="82"/>
    </row>
    <row r="109" spans="17:26" x14ac:dyDescent="0.25">
      <c r="Q109" s="82"/>
      <c r="T109" s="82"/>
      <c r="W109" s="82"/>
      <c r="Z109" s="82"/>
    </row>
    <row r="110" spans="17:26" x14ac:dyDescent="0.25">
      <c r="Q110" s="82"/>
      <c r="T110" s="82"/>
      <c r="W110" s="82"/>
      <c r="Z110" s="82"/>
    </row>
    <row r="111" spans="17:26" x14ac:dyDescent="0.25">
      <c r="Q111" s="82"/>
      <c r="T111" s="82"/>
      <c r="W111" s="82"/>
      <c r="Z111" s="82"/>
    </row>
    <row r="112" spans="17:26" x14ac:dyDescent="0.25">
      <c r="Q112" s="82"/>
      <c r="T112" s="82"/>
      <c r="W112" s="82"/>
      <c r="Z112" s="82"/>
    </row>
    <row r="113" spans="17:26" x14ac:dyDescent="0.25">
      <c r="Q113" s="82"/>
      <c r="T113" s="82"/>
      <c r="W113" s="82"/>
      <c r="Z113" s="82"/>
    </row>
    <row r="114" spans="17:26" x14ac:dyDescent="0.25">
      <c r="Q114" s="82"/>
      <c r="T114" s="82"/>
      <c r="W114" s="82"/>
      <c r="Z114" s="82"/>
    </row>
    <row r="115" spans="17:26" x14ac:dyDescent="0.25">
      <c r="Q115" s="82"/>
      <c r="T115" s="82"/>
      <c r="W115" s="82"/>
      <c r="Z115" s="82"/>
    </row>
    <row r="116" spans="17:26" x14ac:dyDescent="0.25">
      <c r="Q116" s="82"/>
      <c r="T116" s="82"/>
      <c r="W116" s="82"/>
      <c r="Z116" s="82"/>
    </row>
    <row r="117" spans="17:26" x14ac:dyDescent="0.25">
      <c r="Q117" s="82"/>
      <c r="T117" s="82"/>
      <c r="W117" s="82"/>
      <c r="Z117" s="82"/>
    </row>
    <row r="118" spans="17:26" x14ac:dyDescent="0.25">
      <c r="Q118" s="82"/>
      <c r="T118" s="82"/>
      <c r="W118" s="82"/>
      <c r="Z118" s="82"/>
    </row>
    <row r="119" spans="17:26" x14ac:dyDescent="0.25">
      <c r="Q119" s="82"/>
      <c r="T119" s="82"/>
      <c r="W119" s="82"/>
      <c r="Z119" s="82"/>
    </row>
    <row r="120" spans="17:26" x14ac:dyDescent="0.25">
      <c r="Q120" s="82"/>
      <c r="T120" s="82"/>
      <c r="W120" s="82"/>
      <c r="Z120" s="82"/>
    </row>
    <row r="121" spans="17:26" x14ac:dyDescent="0.25">
      <c r="Q121" s="82"/>
      <c r="T121" s="82"/>
      <c r="W121" s="82"/>
      <c r="Z121" s="82"/>
    </row>
    <row r="122" spans="17:26" x14ac:dyDescent="0.25">
      <c r="Q122" s="82"/>
      <c r="T122" s="82"/>
      <c r="W122" s="82"/>
      <c r="Z122" s="82"/>
    </row>
    <row r="123" spans="17:26" x14ac:dyDescent="0.25">
      <c r="Q123" s="82"/>
      <c r="T123" s="82"/>
      <c r="W123" s="82"/>
      <c r="Z123" s="82"/>
    </row>
    <row r="124" spans="17:26" x14ac:dyDescent="0.25">
      <c r="Q124" s="82"/>
      <c r="T124" s="82"/>
      <c r="W124" s="82"/>
      <c r="Z124" s="82"/>
    </row>
    <row r="125" spans="17:26" x14ac:dyDescent="0.25">
      <c r="Q125" s="82"/>
      <c r="T125" s="82"/>
      <c r="W125" s="82"/>
      <c r="Z125" s="82"/>
    </row>
    <row r="126" spans="17:26" x14ac:dyDescent="0.25">
      <c r="Q126" s="82"/>
      <c r="T126" s="82"/>
      <c r="W126" s="82"/>
      <c r="Z126" s="82"/>
    </row>
    <row r="127" spans="17:26" x14ac:dyDescent="0.25">
      <c r="Q127" s="82"/>
      <c r="T127" s="82"/>
      <c r="W127" s="82"/>
      <c r="Z127" s="82"/>
    </row>
    <row r="128" spans="17:26" x14ac:dyDescent="0.25">
      <c r="Q128" s="82"/>
      <c r="T128" s="82"/>
      <c r="W128" s="82"/>
      <c r="Z128" s="82"/>
    </row>
    <row r="129" spans="17:26" x14ac:dyDescent="0.25">
      <c r="Q129" s="82"/>
      <c r="T129" s="82"/>
      <c r="W129" s="82"/>
      <c r="Z129" s="82"/>
    </row>
    <row r="130" spans="17:26" x14ac:dyDescent="0.25">
      <c r="Q130" s="82"/>
      <c r="T130" s="82"/>
      <c r="W130" s="82"/>
      <c r="Z130" s="82"/>
    </row>
    <row r="131" spans="17:26" x14ac:dyDescent="0.25">
      <c r="Q131" s="82"/>
      <c r="T131" s="82"/>
      <c r="W131" s="82"/>
      <c r="Z131" s="82"/>
    </row>
    <row r="132" spans="17:26" x14ac:dyDescent="0.25">
      <c r="Q132" s="82"/>
      <c r="T132" s="82"/>
      <c r="W132" s="82"/>
      <c r="Z132" s="82"/>
    </row>
    <row r="133" spans="17:26" x14ac:dyDescent="0.25">
      <c r="Q133" s="82"/>
      <c r="T133" s="82"/>
      <c r="W133" s="82"/>
      <c r="Z133" s="82"/>
    </row>
    <row r="134" spans="17:26" x14ac:dyDescent="0.25">
      <c r="Q134" s="82"/>
      <c r="T134" s="82"/>
      <c r="W134" s="82"/>
      <c r="Z134" s="82"/>
    </row>
    <row r="135" spans="17:26" x14ac:dyDescent="0.25">
      <c r="Q135" s="82"/>
      <c r="T135" s="82"/>
      <c r="W135" s="82"/>
      <c r="Z135" s="82"/>
    </row>
    <row r="136" spans="17:26" x14ac:dyDescent="0.25">
      <c r="Q136" s="82"/>
      <c r="T136" s="82"/>
      <c r="W136" s="82"/>
      <c r="Z136" s="82"/>
    </row>
    <row r="137" spans="17:26" x14ac:dyDescent="0.25">
      <c r="Q137" s="82"/>
      <c r="T137" s="82"/>
      <c r="W137" s="82"/>
      <c r="Z137" s="82"/>
    </row>
    <row r="138" spans="17:26" x14ac:dyDescent="0.25">
      <c r="Q138" s="82"/>
      <c r="T138" s="82"/>
      <c r="W138" s="82"/>
      <c r="Z138" s="82"/>
    </row>
    <row r="139" spans="17:26" x14ac:dyDescent="0.25">
      <c r="Q139" s="82"/>
      <c r="T139" s="82"/>
      <c r="W139" s="82"/>
      <c r="Z139" s="82"/>
    </row>
    <row r="140" spans="17:26" x14ac:dyDescent="0.25">
      <c r="Q140" s="82"/>
      <c r="T140" s="82"/>
      <c r="W140" s="82"/>
      <c r="Z140" s="82"/>
    </row>
    <row r="141" spans="17:26" x14ac:dyDescent="0.25">
      <c r="Q141" s="82"/>
      <c r="T141" s="82"/>
      <c r="W141" s="82"/>
      <c r="Z141" s="82"/>
    </row>
    <row r="142" spans="17:26" x14ac:dyDescent="0.25">
      <c r="Q142" s="82"/>
      <c r="T142" s="82"/>
      <c r="W142" s="82"/>
      <c r="Z142" s="82"/>
    </row>
    <row r="143" spans="17:26" x14ac:dyDescent="0.25">
      <c r="Q143" s="82"/>
      <c r="T143" s="82"/>
      <c r="W143" s="82"/>
      <c r="Z143" s="82"/>
    </row>
    <row r="144" spans="17:26" x14ac:dyDescent="0.25">
      <c r="Q144" s="82"/>
      <c r="T144" s="82"/>
      <c r="W144" s="82"/>
      <c r="Z144" s="82"/>
    </row>
    <row r="145" spans="17:26" x14ac:dyDescent="0.25">
      <c r="Q145" s="82"/>
      <c r="T145" s="82"/>
      <c r="W145" s="82"/>
      <c r="Z145" s="82"/>
    </row>
    <row r="146" spans="17:26" x14ac:dyDescent="0.25">
      <c r="Q146" s="82"/>
      <c r="T146" s="82"/>
      <c r="W146" s="82"/>
      <c r="Z146" s="82"/>
    </row>
    <row r="147" spans="17:26" x14ac:dyDescent="0.25">
      <c r="Q147" s="82"/>
      <c r="T147" s="82"/>
      <c r="W147" s="82"/>
      <c r="Z147" s="82"/>
    </row>
    <row r="148" spans="17:26" x14ac:dyDescent="0.25">
      <c r="Q148" s="82"/>
      <c r="T148" s="82"/>
      <c r="W148" s="82"/>
      <c r="Z148" s="82"/>
    </row>
    <row r="149" spans="17:26" x14ac:dyDescent="0.25">
      <c r="Q149" s="82"/>
      <c r="T149" s="82"/>
      <c r="W149" s="82"/>
      <c r="Z149" s="82"/>
    </row>
    <row r="150" spans="17:26" x14ac:dyDescent="0.25">
      <c r="Q150" s="82"/>
      <c r="T150" s="82"/>
      <c r="W150" s="82"/>
      <c r="Z150" s="82"/>
    </row>
    <row r="151" spans="17:26" x14ac:dyDescent="0.25">
      <c r="Q151" s="82"/>
      <c r="T151" s="82"/>
      <c r="W151" s="82"/>
      <c r="Z151" s="82"/>
    </row>
    <row r="152" spans="17:26" x14ac:dyDescent="0.25">
      <c r="Q152" s="82"/>
      <c r="T152" s="82"/>
      <c r="W152" s="82"/>
      <c r="Z152" s="82"/>
    </row>
    <row r="153" spans="17:26" x14ac:dyDescent="0.25">
      <c r="Q153" s="82"/>
      <c r="T153" s="82"/>
      <c r="W153" s="82"/>
      <c r="Z153" s="82"/>
    </row>
    <row r="154" spans="17:26" x14ac:dyDescent="0.25">
      <c r="Q154" s="82"/>
      <c r="T154" s="82"/>
      <c r="W154" s="82"/>
      <c r="Z154" s="82"/>
    </row>
    <row r="155" spans="17:26" x14ac:dyDescent="0.25">
      <c r="Q155" s="82"/>
      <c r="T155" s="82"/>
      <c r="W155" s="82"/>
      <c r="Z155" s="82"/>
    </row>
    <row r="156" spans="17:26" x14ac:dyDescent="0.25">
      <c r="Q156" s="82"/>
      <c r="T156" s="82"/>
      <c r="W156" s="82"/>
      <c r="Z156" s="82"/>
    </row>
    <row r="157" spans="17:26" x14ac:dyDescent="0.25">
      <c r="Q157" s="82"/>
      <c r="T157" s="82"/>
      <c r="W157" s="82"/>
      <c r="Z157" s="82"/>
    </row>
    <row r="158" spans="17:26" x14ac:dyDescent="0.25">
      <c r="Q158" s="82"/>
      <c r="T158" s="82"/>
      <c r="W158" s="82"/>
      <c r="Z158" s="82"/>
    </row>
    <row r="159" spans="17:26" x14ac:dyDescent="0.25">
      <c r="Q159" s="82"/>
      <c r="T159" s="82"/>
      <c r="W159" s="82"/>
      <c r="Z159" s="82"/>
    </row>
    <row r="160" spans="17:26" x14ac:dyDescent="0.25">
      <c r="Q160" s="82"/>
      <c r="T160" s="82"/>
      <c r="W160" s="82"/>
      <c r="Z160" s="82"/>
    </row>
    <row r="161" spans="17:26" x14ac:dyDescent="0.25">
      <c r="Q161" s="82"/>
      <c r="T161" s="82"/>
      <c r="W161" s="82"/>
      <c r="Z161" s="82"/>
    </row>
    <row r="162" spans="17:26" x14ac:dyDescent="0.25">
      <c r="Q162" s="82"/>
      <c r="T162" s="82"/>
      <c r="W162" s="82"/>
      <c r="Z162" s="82"/>
    </row>
    <row r="163" spans="17:26" x14ac:dyDescent="0.25">
      <c r="Q163" s="82"/>
      <c r="T163" s="82"/>
      <c r="W163" s="82"/>
      <c r="Z163" s="82"/>
    </row>
    <row r="164" spans="17:26" x14ac:dyDescent="0.25">
      <c r="Q164" s="82"/>
      <c r="T164" s="82"/>
      <c r="W164" s="82"/>
      <c r="Z164" s="82"/>
    </row>
    <row r="165" spans="17:26" x14ac:dyDescent="0.25">
      <c r="Q165" s="82"/>
      <c r="T165" s="82"/>
      <c r="W165" s="82"/>
      <c r="Z165" s="82"/>
    </row>
    <row r="166" spans="17:26" x14ac:dyDescent="0.25">
      <c r="Q166" s="82"/>
      <c r="T166" s="82"/>
      <c r="W166" s="82"/>
      <c r="Z166" s="82"/>
    </row>
    <row r="167" spans="17:26" x14ac:dyDescent="0.25">
      <c r="Q167" s="82"/>
      <c r="T167" s="82"/>
      <c r="W167" s="82"/>
      <c r="Z167" s="82"/>
    </row>
    <row r="168" spans="17:26" x14ac:dyDescent="0.25">
      <c r="Q168" s="82"/>
      <c r="T168" s="82"/>
      <c r="W168" s="82"/>
      <c r="Z168" s="82"/>
    </row>
    <row r="169" spans="17:26" x14ac:dyDescent="0.25">
      <c r="Q169" s="82"/>
      <c r="T169" s="82"/>
      <c r="W169" s="82"/>
      <c r="Z169" s="82"/>
    </row>
    <row r="170" spans="17:26" x14ac:dyDescent="0.25">
      <c r="Q170" s="82"/>
      <c r="T170" s="82"/>
      <c r="W170" s="82"/>
      <c r="Z170" s="82"/>
    </row>
    <row r="171" spans="17:26" x14ac:dyDescent="0.25">
      <c r="Q171" s="82"/>
      <c r="T171" s="82"/>
      <c r="W171" s="82"/>
      <c r="Z171" s="82"/>
    </row>
    <row r="172" spans="17:26" x14ac:dyDescent="0.25">
      <c r="Q172" s="82"/>
      <c r="T172" s="82"/>
      <c r="W172" s="82"/>
      <c r="Z172" s="82"/>
    </row>
    <row r="173" spans="17:26" x14ac:dyDescent="0.25">
      <c r="Q173" s="82"/>
      <c r="T173" s="82"/>
      <c r="W173" s="82"/>
      <c r="Z173" s="82"/>
    </row>
    <row r="174" spans="17:26" x14ac:dyDescent="0.25">
      <c r="Q174" s="82"/>
      <c r="T174" s="82"/>
      <c r="W174" s="82"/>
      <c r="Z174" s="82"/>
    </row>
    <row r="175" spans="17:26" x14ac:dyDescent="0.25">
      <c r="Q175" s="82"/>
      <c r="T175" s="82"/>
      <c r="W175" s="82"/>
      <c r="Z175" s="82"/>
    </row>
    <row r="176" spans="17:26" x14ac:dyDescent="0.25">
      <c r="Q176" s="82"/>
      <c r="T176" s="82"/>
      <c r="W176" s="82"/>
      <c r="Z176" s="82"/>
    </row>
    <row r="177" spans="17:26" x14ac:dyDescent="0.25">
      <c r="Q177" s="82"/>
      <c r="T177" s="82"/>
      <c r="W177" s="82"/>
      <c r="Z177" s="82"/>
    </row>
    <row r="178" spans="17:26" x14ac:dyDescent="0.25">
      <c r="Q178" s="82"/>
      <c r="T178" s="82"/>
      <c r="W178" s="82"/>
      <c r="Z178" s="82"/>
    </row>
    <row r="179" spans="17:26" x14ac:dyDescent="0.25">
      <c r="Q179" s="82"/>
      <c r="T179" s="82"/>
      <c r="W179" s="82"/>
      <c r="Z179" s="82"/>
    </row>
    <row r="180" spans="17:26" x14ac:dyDescent="0.25">
      <c r="Q180" s="82"/>
      <c r="T180" s="82"/>
      <c r="W180" s="82"/>
      <c r="Z180" s="82"/>
    </row>
    <row r="181" spans="17:26" x14ac:dyDescent="0.25">
      <c r="Q181" s="82"/>
      <c r="T181" s="82"/>
      <c r="W181" s="82"/>
      <c r="Z181" s="82"/>
    </row>
    <row r="182" spans="17:26" x14ac:dyDescent="0.25">
      <c r="Q182" s="82"/>
      <c r="T182" s="82"/>
      <c r="W182" s="82"/>
      <c r="Z182" s="82"/>
    </row>
    <row r="183" spans="17:26" x14ac:dyDescent="0.25">
      <c r="Q183" s="82"/>
      <c r="T183" s="82"/>
      <c r="W183" s="82"/>
      <c r="Z183" s="82"/>
    </row>
    <row r="184" spans="17:26" x14ac:dyDescent="0.25">
      <c r="Q184" s="82"/>
      <c r="T184" s="82"/>
      <c r="W184" s="82"/>
      <c r="Z184" s="82"/>
    </row>
    <row r="185" spans="17:26" x14ac:dyDescent="0.25">
      <c r="Q185" s="82"/>
      <c r="T185" s="82"/>
      <c r="W185" s="82"/>
      <c r="Z185" s="82"/>
    </row>
    <row r="186" spans="17:26" x14ac:dyDescent="0.25">
      <c r="Q186" s="82"/>
      <c r="T186" s="82"/>
      <c r="W186" s="82"/>
      <c r="Z186" s="82"/>
    </row>
    <row r="187" spans="17:26" x14ac:dyDescent="0.25">
      <c r="Q187" s="82"/>
      <c r="T187" s="82"/>
      <c r="W187" s="82"/>
      <c r="Z187" s="82"/>
    </row>
    <row r="188" spans="17:26" x14ac:dyDescent="0.25">
      <c r="Q188" s="82"/>
      <c r="T188" s="82"/>
      <c r="W188" s="82"/>
      <c r="Z188" s="82"/>
    </row>
    <row r="189" spans="17:26" x14ac:dyDescent="0.25">
      <c r="Q189" s="82"/>
      <c r="T189" s="82"/>
      <c r="W189" s="82"/>
      <c r="Z189" s="82"/>
    </row>
    <row r="190" spans="17:26" x14ac:dyDescent="0.25">
      <c r="Q190" s="82"/>
      <c r="T190" s="82"/>
      <c r="W190" s="82"/>
      <c r="Z190" s="82"/>
    </row>
    <row r="191" spans="17:26" x14ac:dyDescent="0.25">
      <c r="Q191" s="82"/>
      <c r="T191" s="82"/>
      <c r="W191" s="82"/>
      <c r="Z191" s="82"/>
    </row>
    <row r="192" spans="17:26" x14ac:dyDescent="0.25">
      <c r="Q192" s="82"/>
      <c r="T192" s="82"/>
      <c r="W192" s="82"/>
      <c r="Z192" s="82"/>
    </row>
    <row r="193" spans="17:26" x14ac:dyDescent="0.25">
      <c r="Q193" s="82"/>
      <c r="T193" s="82"/>
      <c r="W193" s="82"/>
      <c r="Z193" s="82"/>
    </row>
    <row r="194" spans="17:26" x14ac:dyDescent="0.25">
      <c r="Q194" s="82"/>
      <c r="T194" s="82"/>
      <c r="W194" s="82"/>
      <c r="Z194" s="82"/>
    </row>
    <row r="195" spans="17:26" x14ac:dyDescent="0.25">
      <c r="Q195" s="82"/>
      <c r="T195" s="82"/>
      <c r="W195" s="82"/>
      <c r="Z195" s="82"/>
    </row>
    <row r="196" spans="17:26" x14ac:dyDescent="0.25">
      <c r="Q196" s="82"/>
      <c r="T196" s="82"/>
      <c r="W196" s="82"/>
      <c r="Z196" s="82"/>
    </row>
    <row r="197" spans="17:26" x14ac:dyDescent="0.25">
      <c r="Q197" s="82"/>
      <c r="T197" s="82"/>
      <c r="W197" s="82"/>
      <c r="Z197" s="82"/>
    </row>
    <row r="198" spans="17:26" x14ac:dyDescent="0.25">
      <c r="Q198" s="82"/>
      <c r="T198" s="82"/>
      <c r="W198" s="82"/>
      <c r="Z198" s="82"/>
    </row>
    <row r="199" spans="17:26" x14ac:dyDescent="0.25">
      <c r="Q199" s="82"/>
      <c r="T199" s="82"/>
      <c r="W199" s="82"/>
      <c r="Z199" s="82"/>
    </row>
    <row r="200" spans="17:26" x14ac:dyDescent="0.25">
      <c r="Q200" s="82"/>
      <c r="T200" s="82"/>
      <c r="W200" s="82"/>
      <c r="Z200" s="82"/>
    </row>
    <row r="201" spans="17:26" x14ac:dyDescent="0.25">
      <c r="Q201" s="82"/>
      <c r="T201" s="82"/>
      <c r="W201" s="82"/>
      <c r="Z201" s="82"/>
    </row>
    <row r="202" spans="17:26" x14ac:dyDescent="0.25">
      <c r="Q202" s="82"/>
      <c r="T202" s="82"/>
      <c r="W202" s="82"/>
      <c r="Z202" s="82"/>
    </row>
    <row r="203" spans="17:26" x14ac:dyDescent="0.25">
      <c r="Q203" s="82"/>
      <c r="T203" s="82"/>
      <c r="W203" s="82"/>
      <c r="Z203" s="82"/>
    </row>
    <row r="204" spans="17:26" x14ac:dyDescent="0.25">
      <c r="Q204" s="82"/>
      <c r="T204" s="82"/>
      <c r="W204" s="82"/>
      <c r="Z204" s="82"/>
    </row>
    <row r="205" spans="17:26" x14ac:dyDescent="0.25">
      <c r="Q205" s="82"/>
      <c r="T205" s="82"/>
      <c r="W205" s="82"/>
      <c r="Z205" s="82"/>
    </row>
    <row r="206" spans="17:26" x14ac:dyDescent="0.25">
      <c r="Q206" s="82"/>
      <c r="T206" s="82"/>
      <c r="W206" s="82"/>
      <c r="Z206" s="82"/>
    </row>
    <row r="207" spans="17:26" x14ac:dyDescent="0.25">
      <c r="Q207" s="82"/>
      <c r="T207" s="82"/>
      <c r="W207" s="82"/>
      <c r="Z207" s="82"/>
    </row>
    <row r="208" spans="17:26" x14ac:dyDescent="0.25">
      <c r="Q208" s="82"/>
      <c r="T208" s="82"/>
      <c r="W208" s="82"/>
      <c r="Z208" s="82"/>
    </row>
    <row r="209" spans="17:26" x14ac:dyDescent="0.25">
      <c r="Q209" s="82"/>
      <c r="T209" s="82"/>
      <c r="W209" s="82"/>
      <c r="Z209" s="82"/>
    </row>
    <row r="210" spans="17:26" x14ac:dyDescent="0.25">
      <c r="Q210" s="82"/>
      <c r="T210" s="82"/>
      <c r="W210" s="82"/>
      <c r="Z210" s="82"/>
    </row>
    <row r="211" spans="17:26" x14ac:dyDescent="0.25">
      <c r="Q211" s="82"/>
      <c r="T211" s="82"/>
      <c r="W211" s="82"/>
      <c r="Z211" s="82"/>
    </row>
    <row r="212" spans="17:26" x14ac:dyDescent="0.25">
      <c r="Q212" s="82"/>
      <c r="T212" s="82"/>
      <c r="W212" s="82"/>
      <c r="Z212" s="82"/>
    </row>
    <row r="213" spans="17:26" x14ac:dyDescent="0.25">
      <c r="Q213" s="82"/>
      <c r="T213" s="82"/>
      <c r="W213" s="82"/>
      <c r="Z213" s="82"/>
    </row>
    <row r="214" spans="17:26" x14ac:dyDescent="0.25">
      <c r="Q214" s="82"/>
      <c r="T214" s="82"/>
      <c r="W214" s="82"/>
      <c r="Z214" s="82"/>
    </row>
    <row r="215" spans="17:26" x14ac:dyDescent="0.25">
      <c r="Q215" s="82"/>
      <c r="T215" s="82"/>
      <c r="W215" s="82"/>
      <c r="Z215" s="82"/>
    </row>
    <row r="216" spans="17:26" x14ac:dyDescent="0.25">
      <c r="Q216" s="82"/>
      <c r="T216" s="82"/>
      <c r="W216" s="82"/>
      <c r="Z216" s="82"/>
    </row>
    <row r="217" spans="17:26" x14ac:dyDescent="0.25">
      <c r="Q217" s="82"/>
      <c r="T217" s="82"/>
      <c r="W217" s="82"/>
      <c r="Z217" s="82"/>
    </row>
    <row r="218" spans="17:26" x14ac:dyDescent="0.25">
      <c r="Q218" s="82"/>
      <c r="T218" s="82"/>
      <c r="W218" s="82"/>
      <c r="Z218" s="82"/>
    </row>
    <row r="219" spans="17:26" x14ac:dyDescent="0.25">
      <c r="Q219" s="82"/>
      <c r="T219" s="82"/>
      <c r="W219" s="82"/>
      <c r="Z219" s="82"/>
    </row>
    <row r="220" spans="17:26" x14ac:dyDescent="0.25">
      <c r="Q220" s="82"/>
      <c r="T220" s="82"/>
      <c r="W220" s="82"/>
      <c r="Z220" s="82"/>
    </row>
    <row r="221" spans="17:26" x14ac:dyDescent="0.25">
      <c r="Q221" s="82"/>
      <c r="T221" s="82"/>
      <c r="W221" s="82"/>
      <c r="Z221" s="82"/>
    </row>
    <row r="222" spans="17:26" x14ac:dyDescent="0.25">
      <c r="Q222" s="82"/>
      <c r="T222" s="82"/>
      <c r="W222" s="82"/>
      <c r="Z222" s="82"/>
    </row>
    <row r="223" spans="17:26" x14ac:dyDescent="0.25">
      <c r="Q223" s="82"/>
      <c r="T223" s="82"/>
      <c r="W223" s="82"/>
      <c r="Z223" s="82"/>
    </row>
    <row r="224" spans="17:26" x14ac:dyDescent="0.25">
      <c r="Q224" s="82"/>
      <c r="T224" s="82"/>
      <c r="W224" s="82"/>
      <c r="Z224" s="82"/>
    </row>
    <row r="225" spans="17:26" x14ac:dyDescent="0.25">
      <c r="Q225" s="82"/>
      <c r="T225" s="82"/>
      <c r="W225" s="82"/>
      <c r="Z225" s="82"/>
    </row>
    <row r="226" spans="17:26" x14ac:dyDescent="0.25">
      <c r="Q226" s="82"/>
      <c r="T226" s="82"/>
      <c r="W226" s="82"/>
      <c r="Z226" s="82"/>
    </row>
    <row r="227" spans="17:26" x14ac:dyDescent="0.25">
      <c r="Q227" s="82"/>
      <c r="T227" s="82"/>
      <c r="W227" s="82"/>
      <c r="Z227" s="82"/>
    </row>
    <row r="228" spans="17:26" x14ac:dyDescent="0.25">
      <c r="Q228" s="82"/>
      <c r="T228" s="82"/>
      <c r="W228" s="82"/>
      <c r="Z228" s="82"/>
    </row>
    <row r="229" spans="17:26" x14ac:dyDescent="0.25">
      <c r="Q229" s="82"/>
      <c r="T229" s="82"/>
      <c r="W229" s="82"/>
      <c r="Z229" s="82"/>
    </row>
    <row r="230" spans="17:26" x14ac:dyDescent="0.25">
      <c r="Q230" s="82"/>
      <c r="T230" s="82"/>
      <c r="W230" s="82"/>
      <c r="Z230" s="82"/>
    </row>
    <row r="231" spans="17:26" x14ac:dyDescent="0.25">
      <c r="Q231" s="82"/>
      <c r="T231" s="82"/>
      <c r="W231" s="82"/>
      <c r="Z231" s="82"/>
    </row>
    <row r="232" spans="17:26" x14ac:dyDescent="0.25">
      <c r="Q232" s="82"/>
      <c r="T232" s="82"/>
      <c r="W232" s="82"/>
      <c r="Z232" s="82"/>
    </row>
    <row r="233" spans="17:26" x14ac:dyDescent="0.25">
      <c r="Q233" s="82"/>
      <c r="T233" s="82"/>
      <c r="W233" s="82"/>
      <c r="Z233" s="82"/>
    </row>
    <row r="234" spans="17:26" x14ac:dyDescent="0.25">
      <c r="Q234" s="82"/>
      <c r="T234" s="82"/>
      <c r="W234" s="82"/>
      <c r="Z234" s="82"/>
    </row>
    <row r="235" spans="17:26" x14ac:dyDescent="0.25">
      <c r="Q235" s="82"/>
      <c r="T235" s="82"/>
      <c r="W235" s="82"/>
      <c r="Z235" s="82"/>
    </row>
    <row r="236" spans="17:26" x14ac:dyDescent="0.25">
      <c r="Q236" s="82"/>
      <c r="T236" s="82"/>
      <c r="W236" s="82"/>
      <c r="Z236" s="82"/>
    </row>
    <row r="237" spans="17:26" x14ac:dyDescent="0.25">
      <c r="Q237" s="82"/>
      <c r="T237" s="82"/>
      <c r="W237" s="82"/>
      <c r="Z237" s="82"/>
    </row>
    <row r="238" spans="17:26" x14ac:dyDescent="0.25">
      <c r="Q238" s="82"/>
      <c r="T238" s="82"/>
      <c r="W238" s="82"/>
      <c r="Z238" s="82"/>
    </row>
    <row r="239" spans="17:26" x14ac:dyDescent="0.25">
      <c r="Q239" s="82"/>
      <c r="T239" s="82"/>
      <c r="W239" s="82"/>
      <c r="Z239" s="82"/>
    </row>
    <row r="240" spans="17:26" x14ac:dyDescent="0.25">
      <c r="Q240" s="82"/>
      <c r="T240" s="82"/>
      <c r="W240" s="82"/>
      <c r="Z240" s="82"/>
    </row>
    <row r="241" spans="17:26" x14ac:dyDescent="0.25">
      <c r="Q241" s="82"/>
      <c r="T241" s="82"/>
      <c r="W241" s="82"/>
      <c r="Z241" s="82"/>
    </row>
    <row r="242" spans="17:26" x14ac:dyDescent="0.25">
      <c r="Q242" s="82"/>
      <c r="T242" s="82"/>
      <c r="W242" s="82"/>
      <c r="Z242" s="82"/>
    </row>
    <row r="243" spans="17:26" x14ac:dyDescent="0.25">
      <c r="Q243" s="82"/>
      <c r="T243" s="82"/>
      <c r="W243" s="82"/>
      <c r="Z243" s="82"/>
    </row>
    <row r="244" spans="17:26" x14ac:dyDescent="0.25">
      <c r="Q244" s="82"/>
      <c r="T244" s="82"/>
      <c r="W244" s="82"/>
      <c r="Z244" s="82"/>
    </row>
    <row r="245" spans="17:26" x14ac:dyDescent="0.25">
      <c r="Q245" s="82"/>
      <c r="T245" s="82"/>
      <c r="W245" s="82"/>
      <c r="Z245" s="82"/>
    </row>
    <row r="246" spans="17:26" x14ac:dyDescent="0.25">
      <c r="Q246" s="82"/>
      <c r="T246" s="82"/>
      <c r="W246" s="82"/>
      <c r="Z246" s="82"/>
    </row>
    <row r="247" spans="17:26" x14ac:dyDescent="0.25">
      <c r="Q247" s="82"/>
      <c r="T247" s="82"/>
      <c r="W247" s="82"/>
      <c r="Z247" s="82"/>
    </row>
    <row r="248" spans="17:26" x14ac:dyDescent="0.25">
      <c r="Q248" s="82"/>
      <c r="T248" s="82"/>
      <c r="W248" s="82"/>
      <c r="Z248" s="82"/>
    </row>
    <row r="249" spans="17:26" x14ac:dyDescent="0.25">
      <c r="Q249" s="82"/>
      <c r="T249" s="82"/>
      <c r="W249" s="82"/>
      <c r="Z249" s="82"/>
    </row>
    <row r="250" spans="17:26" x14ac:dyDescent="0.25">
      <c r="Q250" s="82"/>
      <c r="T250" s="82"/>
      <c r="W250" s="82"/>
      <c r="Z250" s="82"/>
    </row>
    <row r="251" spans="17:26" x14ac:dyDescent="0.25">
      <c r="Q251" s="82"/>
      <c r="T251" s="82"/>
      <c r="W251" s="82"/>
      <c r="Z251" s="82"/>
    </row>
    <row r="252" spans="17:26" x14ac:dyDescent="0.25">
      <c r="Q252" s="82"/>
      <c r="T252" s="82"/>
      <c r="W252" s="82"/>
      <c r="Z252" s="82"/>
    </row>
    <row r="253" spans="17:26" x14ac:dyDescent="0.25">
      <c r="Q253" s="82"/>
      <c r="T253" s="82"/>
      <c r="W253" s="82"/>
      <c r="Z253" s="82"/>
    </row>
    <row r="254" spans="17:26" x14ac:dyDescent="0.25">
      <c r="Q254" s="82"/>
      <c r="T254" s="82"/>
      <c r="W254" s="82"/>
      <c r="Z254" s="82"/>
    </row>
    <row r="255" spans="17:26" x14ac:dyDescent="0.25">
      <c r="Q255" s="82"/>
      <c r="T255" s="82"/>
      <c r="W255" s="82"/>
      <c r="Z255" s="82"/>
    </row>
    <row r="256" spans="17:26" x14ac:dyDescent="0.25">
      <c r="Q256" s="82"/>
      <c r="T256" s="82"/>
      <c r="W256" s="82"/>
      <c r="Z256" s="82"/>
    </row>
    <row r="257" spans="17:26" x14ac:dyDescent="0.25">
      <c r="Q257" s="82"/>
      <c r="T257" s="82"/>
      <c r="W257" s="82"/>
      <c r="Z257" s="82"/>
    </row>
    <row r="258" spans="17:26" x14ac:dyDescent="0.25">
      <c r="Q258" s="82"/>
      <c r="T258" s="82"/>
      <c r="W258" s="82"/>
      <c r="Z258" s="82"/>
    </row>
    <row r="259" spans="17:26" x14ac:dyDescent="0.25">
      <c r="Q259" s="82"/>
      <c r="T259" s="82"/>
      <c r="W259" s="82"/>
      <c r="Z259" s="82"/>
    </row>
    <row r="260" spans="17:26" x14ac:dyDescent="0.25">
      <c r="Q260" s="82"/>
      <c r="T260" s="82"/>
      <c r="W260" s="82"/>
      <c r="Z260" s="82"/>
    </row>
    <row r="261" spans="17:26" x14ac:dyDescent="0.25">
      <c r="Q261" s="82"/>
      <c r="T261" s="82"/>
      <c r="W261" s="82"/>
      <c r="Z261" s="82"/>
    </row>
    <row r="262" spans="17:26" x14ac:dyDescent="0.25">
      <c r="Q262" s="82"/>
      <c r="T262" s="82"/>
      <c r="W262" s="82"/>
      <c r="Z262" s="82"/>
    </row>
    <row r="263" spans="17:26" x14ac:dyDescent="0.25">
      <c r="Q263" s="82"/>
      <c r="T263" s="82"/>
      <c r="W263" s="82"/>
      <c r="Z263" s="82"/>
    </row>
    <row r="264" spans="17:26" x14ac:dyDescent="0.25">
      <c r="Q264" s="82"/>
      <c r="T264" s="82"/>
      <c r="W264" s="82"/>
      <c r="Z264" s="82"/>
    </row>
    <row r="265" spans="17:26" x14ac:dyDescent="0.25">
      <c r="Q265" s="82"/>
      <c r="T265" s="82"/>
      <c r="W265" s="82"/>
      <c r="Z265" s="82"/>
    </row>
    <row r="266" spans="17:26" x14ac:dyDescent="0.25">
      <c r="Q266" s="82"/>
      <c r="T266" s="82"/>
      <c r="W266" s="82"/>
      <c r="Z266" s="82"/>
    </row>
    <row r="267" spans="17:26" x14ac:dyDescent="0.25">
      <c r="Q267" s="82"/>
      <c r="T267" s="82"/>
      <c r="W267" s="82"/>
      <c r="Z267" s="82"/>
    </row>
    <row r="268" spans="17:26" x14ac:dyDescent="0.25">
      <c r="Q268" s="82"/>
      <c r="T268" s="82"/>
      <c r="W268" s="82"/>
      <c r="Z268" s="82"/>
    </row>
    <row r="269" spans="17:26" x14ac:dyDescent="0.25">
      <c r="Q269" s="82"/>
      <c r="T269" s="82"/>
      <c r="W269" s="82"/>
      <c r="Z269" s="82"/>
    </row>
    <row r="270" spans="17:26" x14ac:dyDescent="0.25">
      <c r="Q270" s="82"/>
      <c r="T270" s="82"/>
      <c r="W270" s="82"/>
      <c r="Z270" s="82"/>
    </row>
    <row r="271" spans="17:26" x14ac:dyDescent="0.25">
      <c r="Q271" s="82"/>
      <c r="T271" s="82"/>
      <c r="W271" s="82"/>
      <c r="Z271" s="82"/>
    </row>
    <row r="272" spans="17:26" x14ac:dyDescent="0.25">
      <c r="Q272" s="82"/>
      <c r="T272" s="82"/>
      <c r="W272" s="82"/>
      <c r="Z272" s="82"/>
    </row>
    <row r="273" spans="17:26" x14ac:dyDescent="0.25">
      <c r="Q273" s="82"/>
      <c r="T273" s="82"/>
      <c r="W273" s="82"/>
      <c r="Z273" s="82"/>
    </row>
    <row r="274" spans="17:26" x14ac:dyDescent="0.25">
      <c r="Q274" s="82"/>
      <c r="T274" s="82"/>
      <c r="W274" s="82"/>
      <c r="Z274" s="82"/>
    </row>
    <row r="275" spans="17:26" x14ac:dyDescent="0.25">
      <c r="Q275" s="82"/>
      <c r="T275" s="82"/>
      <c r="W275" s="82"/>
      <c r="Z275" s="82"/>
    </row>
    <row r="276" spans="17:26" x14ac:dyDescent="0.25">
      <c r="Q276" s="82"/>
      <c r="T276" s="82"/>
      <c r="W276" s="82"/>
      <c r="Z276" s="82"/>
    </row>
    <row r="277" spans="17:26" x14ac:dyDescent="0.25">
      <c r="Q277" s="82"/>
      <c r="T277" s="82"/>
      <c r="W277" s="82"/>
      <c r="Z277" s="82"/>
    </row>
    <row r="278" spans="17:26" x14ac:dyDescent="0.25">
      <c r="Q278" s="82"/>
      <c r="T278" s="82"/>
      <c r="W278" s="82"/>
      <c r="Z278" s="82"/>
    </row>
    <row r="279" spans="17:26" x14ac:dyDescent="0.25">
      <c r="Q279" s="82"/>
      <c r="T279" s="82"/>
      <c r="W279" s="82"/>
      <c r="Z279" s="82"/>
    </row>
    <row r="280" spans="17:26" x14ac:dyDescent="0.25">
      <c r="Q280" s="82"/>
      <c r="T280" s="82"/>
      <c r="W280" s="82"/>
      <c r="Z280" s="82"/>
    </row>
    <row r="281" spans="17:26" x14ac:dyDescent="0.25">
      <c r="Q281" s="82"/>
      <c r="T281" s="82"/>
      <c r="W281" s="82"/>
      <c r="Z281" s="82"/>
    </row>
    <row r="282" spans="17:26" x14ac:dyDescent="0.25">
      <c r="Q282" s="82"/>
      <c r="T282" s="82"/>
      <c r="W282" s="82"/>
      <c r="Z282" s="82"/>
    </row>
    <row r="283" spans="17:26" x14ac:dyDescent="0.25">
      <c r="Q283" s="82"/>
      <c r="T283" s="82"/>
      <c r="W283" s="82"/>
      <c r="Z283" s="82"/>
    </row>
    <row r="284" spans="17:26" x14ac:dyDescent="0.25">
      <c r="Q284" s="82"/>
      <c r="T284" s="82"/>
      <c r="W284" s="82"/>
      <c r="Z284" s="82"/>
    </row>
    <row r="285" spans="17:26" x14ac:dyDescent="0.25">
      <c r="Q285" s="82"/>
      <c r="T285" s="82"/>
      <c r="W285" s="82"/>
      <c r="Z285" s="82"/>
    </row>
    <row r="286" spans="17:26" x14ac:dyDescent="0.25">
      <c r="Q286" s="82"/>
      <c r="T286" s="82"/>
      <c r="W286" s="82"/>
      <c r="Z286" s="82"/>
    </row>
    <row r="287" spans="17:26" x14ac:dyDescent="0.25">
      <c r="Q287" s="82"/>
      <c r="T287" s="82"/>
      <c r="W287" s="82"/>
      <c r="Z287" s="82"/>
    </row>
    <row r="288" spans="17:26" x14ac:dyDescent="0.25">
      <c r="Q288" s="82"/>
      <c r="T288" s="82"/>
      <c r="W288" s="82"/>
      <c r="Z288" s="82"/>
    </row>
    <row r="289" spans="17:26" x14ac:dyDescent="0.25">
      <c r="Q289" s="82"/>
      <c r="T289" s="82"/>
      <c r="W289" s="82"/>
      <c r="Z289" s="82"/>
    </row>
    <row r="290" spans="17:26" x14ac:dyDescent="0.25">
      <c r="Q290" s="82"/>
      <c r="T290" s="82"/>
      <c r="W290" s="82"/>
      <c r="Z290" s="82"/>
    </row>
    <row r="291" spans="17:26" x14ac:dyDescent="0.25">
      <c r="Q291" s="82"/>
      <c r="T291" s="82"/>
      <c r="W291" s="82"/>
      <c r="Z291" s="82"/>
    </row>
    <row r="292" spans="17:26" x14ac:dyDescent="0.25">
      <c r="Q292" s="82"/>
      <c r="T292" s="82"/>
      <c r="W292" s="82"/>
      <c r="Z292" s="82"/>
    </row>
    <row r="293" spans="17:26" x14ac:dyDescent="0.25">
      <c r="Q293" s="82"/>
      <c r="T293" s="82"/>
      <c r="W293" s="82"/>
      <c r="Z293" s="82"/>
    </row>
    <row r="294" spans="17:26" x14ac:dyDescent="0.25">
      <c r="Q294" s="82"/>
      <c r="T294" s="82"/>
      <c r="W294" s="82"/>
      <c r="Z294" s="82"/>
    </row>
    <row r="295" spans="17:26" x14ac:dyDescent="0.25">
      <c r="Q295" s="82"/>
      <c r="T295" s="82"/>
      <c r="W295" s="82"/>
      <c r="Z295" s="82"/>
    </row>
    <row r="296" spans="17:26" x14ac:dyDescent="0.25">
      <c r="Q296" s="82"/>
      <c r="T296" s="82"/>
      <c r="W296" s="82"/>
      <c r="Z296" s="82"/>
    </row>
    <row r="297" spans="17:26" x14ac:dyDescent="0.25">
      <c r="Q297" s="82"/>
      <c r="T297" s="82"/>
      <c r="W297" s="82"/>
      <c r="Z297" s="82"/>
    </row>
    <row r="298" spans="17:26" x14ac:dyDescent="0.25">
      <c r="Q298" s="82"/>
      <c r="T298" s="82"/>
      <c r="W298" s="82"/>
      <c r="Z298" s="82"/>
    </row>
    <row r="299" spans="17:26" x14ac:dyDescent="0.25">
      <c r="Q299" s="82"/>
      <c r="T299" s="82"/>
      <c r="W299" s="82"/>
      <c r="Z299" s="82"/>
    </row>
    <row r="300" spans="17:26" x14ac:dyDescent="0.25">
      <c r="Q300" s="82"/>
      <c r="T300" s="82"/>
      <c r="W300" s="82"/>
      <c r="Z300" s="82"/>
    </row>
    <row r="301" spans="17:26" x14ac:dyDescent="0.25">
      <c r="Q301" s="82"/>
      <c r="T301" s="82"/>
      <c r="W301" s="82"/>
      <c r="Z301" s="82"/>
    </row>
    <row r="302" spans="17:26" x14ac:dyDescent="0.25">
      <c r="Q302" s="82"/>
      <c r="T302" s="82"/>
      <c r="W302" s="82"/>
      <c r="Z302" s="82"/>
    </row>
    <row r="303" spans="17:26" x14ac:dyDescent="0.25">
      <c r="Q303" s="82"/>
      <c r="T303" s="82"/>
      <c r="W303" s="82"/>
      <c r="Z303" s="82"/>
    </row>
    <row r="304" spans="17:26" x14ac:dyDescent="0.25">
      <c r="Q304" s="82"/>
      <c r="T304" s="82"/>
      <c r="W304" s="82"/>
      <c r="Z304" s="82"/>
    </row>
    <row r="305" spans="17:26" x14ac:dyDescent="0.25">
      <c r="Q305" s="82"/>
      <c r="T305" s="82"/>
      <c r="W305" s="82"/>
      <c r="Z305" s="82"/>
    </row>
    <row r="306" spans="17:26" x14ac:dyDescent="0.25">
      <c r="Q306" s="82"/>
      <c r="T306" s="82"/>
      <c r="W306" s="82"/>
      <c r="Z306" s="82"/>
    </row>
    <row r="307" spans="17:26" x14ac:dyDescent="0.25">
      <c r="Q307" s="82"/>
      <c r="T307" s="82"/>
      <c r="W307" s="82"/>
      <c r="Z307" s="82"/>
    </row>
    <row r="308" spans="17:26" x14ac:dyDescent="0.25">
      <c r="Q308" s="82"/>
      <c r="T308" s="82"/>
      <c r="W308" s="82"/>
      <c r="Z308" s="82"/>
    </row>
    <row r="309" spans="17:26" x14ac:dyDescent="0.25">
      <c r="Q309" s="82"/>
      <c r="T309" s="82"/>
      <c r="W309" s="82"/>
      <c r="Z309" s="82"/>
    </row>
    <row r="310" spans="17:26" x14ac:dyDescent="0.25">
      <c r="Q310" s="82"/>
      <c r="T310" s="82"/>
      <c r="W310" s="82"/>
      <c r="Z310" s="82"/>
    </row>
    <row r="311" spans="17:26" x14ac:dyDescent="0.25">
      <c r="Q311" s="82"/>
      <c r="T311" s="82"/>
      <c r="W311" s="82"/>
      <c r="Z311" s="82"/>
    </row>
    <row r="312" spans="17:26" x14ac:dyDescent="0.25">
      <c r="Q312" s="82"/>
      <c r="T312" s="82"/>
      <c r="W312" s="82"/>
      <c r="Z312" s="82"/>
    </row>
    <row r="313" spans="17:26" x14ac:dyDescent="0.25">
      <c r="Q313" s="82"/>
      <c r="T313" s="82"/>
      <c r="W313" s="82"/>
      <c r="Z313" s="82"/>
    </row>
    <row r="314" spans="17:26" x14ac:dyDescent="0.25">
      <c r="Q314" s="82"/>
      <c r="T314" s="82"/>
      <c r="W314" s="82"/>
      <c r="Z314" s="82"/>
    </row>
    <row r="315" spans="17:26" x14ac:dyDescent="0.25">
      <c r="Q315" s="82"/>
      <c r="T315" s="82"/>
      <c r="W315" s="82"/>
      <c r="Z315" s="82"/>
    </row>
    <row r="316" spans="17:26" x14ac:dyDescent="0.25">
      <c r="Q316" s="82"/>
      <c r="T316" s="82"/>
      <c r="W316" s="82"/>
      <c r="Z316" s="82"/>
    </row>
    <row r="317" spans="17:26" x14ac:dyDescent="0.25">
      <c r="Q317" s="82"/>
      <c r="T317" s="82"/>
      <c r="W317" s="82"/>
      <c r="Z317" s="82"/>
    </row>
    <row r="318" spans="17:26" x14ac:dyDescent="0.25">
      <c r="Q318" s="82"/>
      <c r="T318" s="82"/>
      <c r="W318" s="82"/>
      <c r="Z318" s="82"/>
    </row>
    <row r="319" spans="17:26" x14ac:dyDescent="0.25">
      <c r="Q319" s="82"/>
      <c r="T319" s="82"/>
      <c r="W319" s="82"/>
      <c r="Z319" s="82"/>
    </row>
    <row r="320" spans="17:26" x14ac:dyDescent="0.25">
      <c r="Q320" s="82"/>
      <c r="T320" s="82"/>
      <c r="W320" s="82"/>
      <c r="Z320" s="82"/>
    </row>
    <row r="321" spans="17:26" x14ac:dyDescent="0.25">
      <c r="Q321" s="82"/>
      <c r="T321" s="82"/>
      <c r="W321" s="82"/>
      <c r="Z321" s="82"/>
    </row>
    <row r="322" spans="17:26" x14ac:dyDescent="0.25">
      <c r="Q322" s="82"/>
      <c r="T322" s="82"/>
      <c r="W322" s="82"/>
      <c r="Z322" s="82"/>
    </row>
    <row r="323" spans="17:26" x14ac:dyDescent="0.25">
      <c r="Q323" s="82"/>
      <c r="T323" s="82"/>
      <c r="W323" s="82"/>
      <c r="Z323" s="82"/>
    </row>
    <row r="324" spans="17:26" x14ac:dyDescent="0.25">
      <c r="Q324" s="82"/>
      <c r="T324" s="82"/>
      <c r="W324" s="82"/>
      <c r="Z324" s="82"/>
    </row>
    <row r="325" spans="17:26" x14ac:dyDescent="0.25">
      <c r="Q325" s="82"/>
      <c r="T325" s="82"/>
      <c r="W325" s="82"/>
      <c r="Z325" s="82"/>
    </row>
    <row r="326" spans="17:26" x14ac:dyDescent="0.25">
      <c r="Q326" s="82"/>
      <c r="T326" s="82"/>
      <c r="W326" s="82"/>
      <c r="Z326" s="82"/>
    </row>
    <row r="327" spans="17:26" x14ac:dyDescent="0.25">
      <c r="Q327" s="82"/>
      <c r="T327" s="82"/>
      <c r="W327" s="82"/>
      <c r="Z327" s="82"/>
    </row>
    <row r="328" spans="17:26" x14ac:dyDescent="0.25">
      <c r="Q328" s="82"/>
      <c r="T328" s="82"/>
      <c r="W328" s="82"/>
      <c r="Z328" s="82"/>
    </row>
    <row r="329" spans="17:26" x14ac:dyDescent="0.25">
      <c r="Q329" s="82"/>
      <c r="T329" s="82"/>
      <c r="W329" s="82"/>
      <c r="Z329" s="82"/>
    </row>
    <row r="330" spans="17:26" x14ac:dyDescent="0.25">
      <c r="Q330" s="82"/>
      <c r="T330" s="82"/>
      <c r="W330" s="82"/>
      <c r="Z330" s="82"/>
    </row>
    <row r="331" spans="17:26" x14ac:dyDescent="0.25">
      <c r="Q331" s="82"/>
      <c r="T331" s="82"/>
      <c r="W331" s="82"/>
      <c r="Z331" s="82"/>
    </row>
    <row r="332" spans="17:26" x14ac:dyDescent="0.25">
      <c r="Q332" s="82"/>
      <c r="T332" s="82"/>
      <c r="W332" s="82"/>
      <c r="Z332" s="82"/>
    </row>
    <row r="333" spans="17:26" x14ac:dyDescent="0.25">
      <c r="Q333" s="82"/>
      <c r="T333" s="82"/>
      <c r="W333" s="82"/>
      <c r="Z333" s="82"/>
    </row>
    <row r="334" spans="17:26" x14ac:dyDescent="0.25">
      <c r="Q334" s="82"/>
      <c r="T334" s="82"/>
      <c r="W334" s="82"/>
      <c r="Z334" s="82"/>
    </row>
    <row r="335" spans="17:26" x14ac:dyDescent="0.25">
      <c r="Q335" s="82"/>
      <c r="T335" s="82"/>
      <c r="W335" s="82"/>
      <c r="Z335" s="82"/>
    </row>
    <row r="336" spans="17:26" x14ac:dyDescent="0.25">
      <c r="Q336" s="82"/>
      <c r="T336" s="82"/>
      <c r="W336" s="82"/>
      <c r="Z336" s="82"/>
    </row>
    <row r="337" spans="17:26" x14ac:dyDescent="0.25">
      <c r="Q337" s="82"/>
      <c r="T337" s="82"/>
      <c r="W337" s="82"/>
      <c r="Z337" s="82"/>
    </row>
  </sheetData>
  <hyperlinks>
    <hyperlink ref="B2" location="Index!A1" display="index page" xr:uid="{E45D5663-9A22-48B3-A2EE-DE176766F5E6}"/>
  </hyperlink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62F2BA31FE14DB3B21B8409D7A783" ma:contentTypeVersion="12" ma:contentTypeDescription="Create a new document." ma:contentTypeScope="" ma:versionID="0d5c13adfeb970517a293e8f0aabc85a">
  <xsd:schema xmlns:xsd="http://www.w3.org/2001/XMLSchema" xmlns:xs="http://www.w3.org/2001/XMLSchema" xmlns:p="http://schemas.microsoft.com/office/2006/metadata/properties" xmlns:ns2="c8e258c0-126b-405c-b151-bcdbaed10fc9" xmlns:ns3="eaf24d77-99bf-4edc-bbb6-cad73f411aea" targetNamespace="http://schemas.microsoft.com/office/2006/metadata/properties" ma:root="true" ma:fieldsID="933286f95c402155e3db87917872d1b9" ns2:_="" ns3:_="">
    <xsd:import namespace="c8e258c0-126b-405c-b151-bcdbaed10fc9"/>
    <xsd:import namespace="eaf24d77-99bf-4edc-bbb6-cad73f411a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258c0-126b-405c-b151-bcdbaed10f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24d77-99bf-4edc-bbb6-cad73f411a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57B306-4283-4D22-BD15-BAE62D87CA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010FE9-A6BB-42CA-BAE2-B5E615E82B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258c0-126b-405c-b151-bcdbaed10fc9"/>
    <ds:schemaRef ds:uri="eaf24d77-99bf-4edc-bbb6-cad73f411a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4EB4FA-B494-4898-8347-59BFFB7F831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Index</vt:lpstr>
      <vt:lpstr>Consolidated VEON </vt:lpstr>
      <vt:lpstr>Customers</vt:lpstr>
      <vt:lpstr>Russia</vt:lpstr>
      <vt:lpstr>Pakistan</vt:lpstr>
      <vt:lpstr>Algeria</vt:lpstr>
      <vt:lpstr>Bangladesh</vt:lpstr>
      <vt:lpstr>Ukraine</vt:lpstr>
      <vt:lpstr>Uzbekistan</vt:lpstr>
      <vt:lpstr>Kazakhstan</vt:lpstr>
      <vt:lpstr>Algeria!Print_Area</vt:lpstr>
      <vt:lpstr>Bangladesh!Print_Area</vt:lpstr>
      <vt:lpstr>'Consolidated VEON '!Print_Area</vt:lpstr>
      <vt:lpstr>Customers!Print_Area</vt:lpstr>
      <vt:lpstr>Index!Print_Area</vt:lpstr>
      <vt:lpstr>Kazakhstan!Print_Area</vt:lpstr>
      <vt:lpstr>Pakistan!Print_Area</vt:lpstr>
      <vt:lpstr>Russia!Print_Area</vt:lpstr>
      <vt:lpstr>Ukraine!Print_Area</vt:lpstr>
      <vt:lpstr>Uzbekistan!Print_Area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Platonov</dc:creator>
  <cp:lastModifiedBy>Maxim Platonov</cp:lastModifiedBy>
  <cp:lastPrinted>2021-04-28T20:06:43Z</cp:lastPrinted>
  <dcterms:created xsi:type="dcterms:W3CDTF">2021-04-28T18:25:16Z</dcterms:created>
  <dcterms:modified xsi:type="dcterms:W3CDTF">2021-04-29T11:27:09Z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0x01010091C62F2BA31FE14DB3B21B8409D7A783</vt:lpwstr>
  </property>
</Properties>
</file>